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peoserver\Projekcia 2020\ZS Ostredky\DRS\SO 05 DAŽĎOVÁ KANALIZÁCIA\"/>
    </mc:Choice>
  </mc:AlternateContent>
  <xr:revisionPtr revIDLastSave="0" documentId="13_ncr:1_{75CC1462-A348-497F-8812-C08753182A00}" xr6:coauthVersionLast="46" xr6:coauthVersionMax="46" xr10:uidLastSave="{00000000-0000-0000-0000-000000000000}"/>
  <workbookProtection workbookPassword="CA8D" lockStructure="1"/>
  <bookViews>
    <workbookView xWindow="61230" yWindow="750" windowWidth="15525" windowHeight="16290" firstSheet="3" activeTab="3" xr2:uid="{00000000-000D-0000-FFFF-FFFF00000000}"/>
  </bookViews>
  <sheets>
    <sheet name="Hárok1" sheetId="1" state="hidden" r:id="rId1"/>
    <sheet name="mesta" sheetId="2" state="hidden" r:id="rId2"/>
    <sheet name="tabulky" sheetId="3" state="hidden" r:id="rId3"/>
    <sheet name="výpočet-ELWA SK Drenblok DB" sheetId="4" r:id="rId4"/>
    <sheet name="Mapa zrážkomerných staníc SK" sheetId="5" r:id="rId5"/>
  </sheets>
  <definedNames>
    <definedName name="_xlnm._FilterDatabase" localSheetId="2" hidden="1">tabulky!$A$1:$M$680</definedName>
    <definedName name="_xlnm.Print_Area" localSheetId="0">Hárok1!$A$1:$L$202</definedName>
    <definedName name="_xlnm.Print_Area" localSheetId="2">tabulky!$A$1:$M$681</definedName>
    <definedName name="_xlnm.Print_Area" localSheetId="3">'výpočet-ELWA SK Drenblok DB'!$A$1:$O$279</definedName>
    <definedName name="Z_951B81EE_4F73_49C3_86F4_B36C01E7586C_.wvu.FilterData" localSheetId="2" hidden="1">tabulky!$A$1:$M$680</definedName>
    <definedName name="Z_951B81EE_4F73_49C3_86F4_B36C01E7586C_.wvu.PrintArea" localSheetId="0" hidden="1">Hárok1!$A$1:$L$202</definedName>
    <definedName name="Z_951B81EE_4F73_49C3_86F4_B36C01E7586C_.wvu.PrintArea" localSheetId="2" hidden="1">tabulky!$A$1:$M$681</definedName>
    <definedName name="Z_951B81EE_4F73_49C3_86F4_B36C01E7586C_.wvu.PrintArea" localSheetId="3" hidden="1">'výpočet-ELWA SK Drenblok DB'!$A$1:$O$279</definedName>
    <definedName name="Z_951B81EE_4F73_49C3_86F4_B36C01E7586C_.wvu.Rows" localSheetId="3" hidden="1">'výpočet-ELWA SK Drenblok DB'!$65:$65,'výpočet-ELWA SK Drenblok DB'!$128:$183</definedName>
  </definedNames>
  <calcPr calcId="191029"/>
  <customWorkbookViews>
    <customWorkbookView name="DR Unit - osobné zobrazenie" guid="{951B81EE-4F73-49C3-86F4-B36C01E7586C}" mergeInterval="0" personalView="1" maximized="1" windowWidth="1916" windowHeight="807" activeSheetId="4"/>
  </customWorkbookViews>
</workbook>
</file>

<file path=xl/calcChain.xml><?xml version="1.0" encoding="utf-8"?>
<calcChain xmlns="http://schemas.openxmlformats.org/spreadsheetml/2006/main">
  <c r="D13" i="4" l="1"/>
  <c r="G267" i="4" s="1"/>
  <c r="J46" i="2"/>
  <c r="D20" i="4" s="1"/>
  <c r="G262" i="4" s="1"/>
  <c r="J38" i="2"/>
  <c r="D19" i="4" s="1"/>
  <c r="G261" i="4" s="1"/>
  <c r="M38" i="2"/>
  <c r="C21" i="4" s="1"/>
  <c r="G263" i="4" s="1"/>
  <c r="F19" i="4"/>
  <c r="I261" i="4" s="1"/>
  <c r="F21" i="4"/>
  <c r="I263" i="4" s="1"/>
  <c r="F20" i="4"/>
  <c r="I262" i="4" s="1"/>
  <c r="G264" i="4"/>
  <c r="F252" i="4"/>
  <c r="H255" i="4"/>
  <c r="L26" i="4"/>
  <c r="M26" i="4"/>
  <c r="D128" i="4"/>
  <c r="H250" i="4"/>
  <c r="H251" i="4"/>
  <c r="H256" i="4"/>
  <c r="H257" i="4"/>
  <c r="N1" i="2"/>
  <c r="G2" i="2"/>
  <c r="L28" i="4" s="1"/>
  <c r="E115" i="4" s="1"/>
  <c r="J2" i="2"/>
  <c r="L27" i="4" s="1"/>
  <c r="E114" i="4" s="1"/>
  <c r="N2" i="2"/>
  <c r="Q3" i="2"/>
  <c r="S3" i="2"/>
  <c r="U3" i="2"/>
  <c r="W3" i="2"/>
  <c r="Y3" i="2"/>
  <c r="AA3" i="2"/>
  <c r="AC3" i="2"/>
  <c r="AE3" i="2"/>
  <c r="AG3" i="2"/>
  <c r="AI3" i="2"/>
  <c r="AK3" i="2"/>
  <c r="M5" i="2"/>
  <c r="L30" i="4" s="1"/>
  <c r="K79" i="4" s="1"/>
  <c r="O5" i="2"/>
  <c r="L32" i="4" s="1"/>
  <c r="Q5" i="2"/>
  <c r="S5" i="2"/>
  <c r="U5" i="2"/>
  <c r="W5" i="2"/>
  <c r="Y5" i="2"/>
  <c r="AA5" i="2"/>
  <c r="AC5" i="2"/>
  <c r="AE5" i="2"/>
  <c r="AG5" i="2"/>
  <c r="AI5" i="2"/>
  <c r="AK5" i="2"/>
  <c r="Q7" i="2"/>
  <c r="S7" i="2"/>
  <c r="U7" i="2"/>
  <c r="W7" i="2"/>
  <c r="Y7" i="2"/>
  <c r="AA7" i="2"/>
  <c r="AC7" i="2"/>
  <c r="AE7" i="2"/>
  <c r="AG7" i="2"/>
  <c r="AI7" i="2"/>
  <c r="AK7" i="2"/>
  <c r="Q9" i="2"/>
  <c r="S9" i="2"/>
  <c r="U9" i="2"/>
  <c r="W9" i="2"/>
  <c r="Y9" i="2"/>
  <c r="AA9" i="2"/>
  <c r="AC9" i="2"/>
  <c r="AE9" i="2"/>
  <c r="AG9" i="2"/>
  <c r="AI9" i="2"/>
  <c r="AK9" i="2"/>
  <c r="Q11" i="2"/>
  <c r="S11" i="2"/>
  <c r="U11" i="2"/>
  <c r="W11" i="2"/>
  <c r="Y11" i="2"/>
  <c r="AA11" i="2"/>
  <c r="AC11" i="2"/>
  <c r="AE11" i="2"/>
  <c r="AG11" i="2"/>
  <c r="AI11" i="2"/>
  <c r="AK11" i="2"/>
  <c r="Q13" i="2"/>
  <c r="S13" i="2"/>
  <c r="U13" i="2"/>
  <c r="W13" i="2"/>
  <c r="Y13" i="2"/>
  <c r="AA13" i="2"/>
  <c r="AC13" i="2"/>
  <c r="AE13" i="2"/>
  <c r="AG13" i="2"/>
  <c r="AI13" i="2"/>
  <c r="AK13" i="2"/>
  <c r="Q15" i="2"/>
  <c r="S15" i="2"/>
  <c r="U15" i="2"/>
  <c r="W15" i="2"/>
  <c r="Y15" i="2"/>
  <c r="AA15" i="2"/>
  <c r="AC15" i="2"/>
  <c r="AE15" i="2"/>
  <c r="AG15" i="2"/>
  <c r="AI15" i="2"/>
  <c r="AK15" i="2"/>
  <c r="F16" i="2"/>
  <c r="L33" i="4" s="1"/>
  <c r="J16" i="2"/>
  <c r="L31" i="4" s="1"/>
  <c r="Q17" i="2"/>
  <c r="S17" i="2"/>
  <c r="U17" i="2"/>
  <c r="W17" i="2"/>
  <c r="Y17" i="2"/>
  <c r="AA17" i="2"/>
  <c r="AC17" i="2"/>
  <c r="AE17" i="2"/>
  <c r="AG17" i="2"/>
  <c r="AI17" i="2"/>
  <c r="AK17" i="2"/>
  <c r="F24" i="2"/>
  <c r="G38" i="4" s="1"/>
  <c r="F25" i="2"/>
  <c r="F26" i="2"/>
  <c r="G40" i="4" s="1"/>
  <c r="F27" i="2"/>
  <c r="G41" i="4" s="1"/>
  <c r="F28" i="2"/>
  <c r="G42" i="4" s="1"/>
  <c r="F29" i="2"/>
  <c r="G43" i="4" s="1"/>
  <c r="J29" i="2"/>
  <c r="L34" i="4" s="1"/>
  <c r="F30" i="2"/>
  <c r="G44" i="4" s="1"/>
  <c r="F31" i="2"/>
  <c r="G45" i="4" s="1"/>
  <c r="L33" i="2"/>
  <c r="P13" i="1"/>
  <c r="Q13" i="1"/>
  <c r="R13" i="1"/>
  <c r="S13" i="1"/>
  <c r="T13" i="1"/>
  <c r="U13" i="1"/>
  <c r="V13" i="1"/>
  <c r="W13" i="1"/>
  <c r="X13" i="1"/>
  <c r="Y13" i="1"/>
  <c r="Z13" i="1"/>
  <c r="P14" i="1"/>
  <c r="Q14" i="1"/>
  <c r="R14" i="1"/>
  <c r="S14" i="1"/>
  <c r="T14" i="1"/>
  <c r="U14" i="1"/>
  <c r="V14" i="1"/>
  <c r="W14" i="1"/>
  <c r="X14" i="1"/>
  <c r="Y14" i="1"/>
  <c r="Z14" i="1"/>
  <c r="J22" i="1"/>
  <c r="J23" i="1"/>
  <c r="J24" i="1"/>
  <c r="P24" i="1"/>
  <c r="Q24" i="1"/>
  <c r="R24" i="1"/>
  <c r="S24" i="1"/>
  <c r="T24" i="1"/>
  <c r="U24" i="1"/>
  <c r="V24" i="1"/>
  <c r="W24" i="1"/>
  <c r="X24" i="1"/>
  <c r="Y24" i="1"/>
  <c r="Z24" i="1"/>
  <c r="J25" i="1"/>
  <c r="P25" i="1"/>
  <c r="Q25" i="1"/>
  <c r="R25" i="1"/>
  <c r="S25" i="1"/>
  <c r="T25" i="1"/>
  <c r="U25" i="1"/>
  <c r="V25" i="1"/>
  <c r="W25" i="1"/>
  <c r="X25" i="1"/>
  <c r="Y25" i="1"/>
  <c r="Z25" i="1"/>
  <c r="J26" i="1"/>
  <c r="J27" i="1"/>
  <c r="J28" i="1"/>
  <c r="E29" i="1"/>
  <c r="I59" i="1" s="1"/>
  <c r="D56" i="1"/>
  <c r="J32" i="1"/>
  <c r="J33" i="1"/>
  <c r="J34" i="1"/>
  <c r="J35" i="1"/>
  <c r="J36" i="1"/>
  <c r="P46" i="1"/>
  <c r="Q46" i="1"/>
  <c r="R46" i="1"/>
  <c r="S46" i="1"/>
  <c r="T46" i="1"/>
  <c r="U46" i="1"/>
  <c r="V46" i="1"/>
  <c r="W46" i="1"/>
  <c r="X46" i="1"/>
  <c r="Y46" i="1"/>
  <c r="Z46" i="1"/>
  <c r="P47" i="1"/>
  <c r="Q47" i="1"/>
  <c r="R47" i="1"/>
  <c r="S47" i="1"/>
  <c r="T47" i="1"/>
  <c r="U47" i="1"/>
  <c r="V47" i="1"/>
  <c r="W47" i="1"/>
  <c r="X47" i="1"/>
  <c r="Y47" i="1"/>
  <c r="Z47" i="1"/>
  <c r="P57" i="1"/>
  <c r="Q57" i="1"/>
  <c r="R57" i="1"/>
  <c r="S57" i="1"/>
  <c r="T57" i="1"/>
  <c r="U57" i="1"/>
  <c r="V57" i="1"/>
  <c r="W57" i="1"/>
  <c r="X57" i="1"/>
  <c r="Y57" i="1"/>
  <c r="Z57" i="1"/>
  <c r="P58" i="1"/>
  <c r="Q58" i="1"/>
  <c r="R58" i="1"/>
  <c r="S58" i="1"/>
  <c r="T58" i="1"/>
  <c r="U58" i="1"/>
  <c r="V58" i="1"/>
  <c r="W58" i="1"/>
  <c r="X58" i="1"/>
  <c r="Y58" i="1"/>
  <c r="Z58" i="1"/>
  <c r="D62" i="1"/>
  <c r="D66" i="1"/>
  <c r="G66" i="1"/>
  <c r="I66" i="1"/>
  <c r="F68" i="1"/>
  <c r="J68" i="1"/>
  <c r="L68" i="1"/>
  <c r="P68" i="1"/>
  <c r="Q68" i="1"/>
  <c r="R68" i="1"/>
  <c r="S68" i="1"/>
  <c r="T68" i="1"/>
  <c r="U68" i="1"/>
  <c r="V68" i="1"/>
  <c r="W68" i="1"/>
  <c r="X68" i="1"/>
  <c r="Y68" i="1"/>
  <c r="Z68" i="1"/>
  <c r="B69" i="1"/>
  <c r="P69" i="1"/>
  <c r="Q69" i="1"/>
  <c r="R69" i="1"/>
  <c r="S69" i="1"/>
  <c r="T69" i="1"/>
  <c r="U69" i="1"/>
  <c r="V69" i="1"/>
  <c r="W69" i="1"/>
  <c r="X69" i="1"/>
  <c r="Y69" i="1"/>
  <c r="Z69" i="1"/>
  <c r="H70" i="1"/>
  <c r="J70" i="1"/>
  <c r="L70" i="1"/>
  <c r="B71" i="1"/>
  <c r="G72" i="1"/>
  <c r="J72" i="1"/>
  <c r="L72" i="1"/>
  <c r="E78" i="1"/>
  <c r="E89" i="1" s="1"/>
  <c r="E102" i="1" s="1"/>
  <c r="L78" i="1"/>
  <c r="L89" i="1" s="1"/>
  <c r="L102" i="1" s="1"/>
  <c r="D79" i="1"/>
  <c r="D90" i="1" s="1"/>
  <c r="D103" i="1" s="1"/>
  <c r="J79" i="1"/>
  <c r="J90" i="1" s="1"/>
  <c r="J103" i="1" s="1"/>
  <c r="L79" i="1"/>
  <c r="L90" i="1" s="1"/>
  <c r="L103" i="1" s="1"/>
  <c r="P79" i="1"/>
  <c r="Q79" i="1"/>
  <c r="R79" i="1"/>
  <c r="S79" i="1"/>
  <c r="T79" i="1"/>
  <c r="U79" i="1"/>
  <c r="V79" i="1"/>
  <c r="W79" i="1"/>
  <c r="X79" i="1"/>
  <c r="Y79" i="1"/>
  <c r="Z79" i="1"/>
  <c r="J80" i="1"/>
  <c r="J91" i="1" s="1"/>
  <c r="J104" i="1" s="1"/>
  <c r="K80" i="1"/>
  <c r="K91" i="1" s="1"/>
  <c r="K104" i="1" s="1"/>
  <c r="P80" i="1"/>
  <c r="Q80" i="1"/>
  <c r="R80" i="1"/>
  <c r="S80" i="1"/>
  <c r="T80" i="1"/>
  <c r="U80" i="1"/>
  <c r="V80" i="1"/>
  <c r="W80" i="1"/>
  <c r="X80" i="1"/>
  <c r="Y80" i="1"/>
  <c r="Z80" i="1"/>
  <c r="C81" i="1"/>
  <c r="C92" i="1" s="1"/>
  <c r="H81" i="1"/>
  <c r="H92" i="1" s="1"/>
  <c r="H105" i="1" s="1"/>
  <c r="B82" i="1"/>
  <c r="B93" i="1" s="1"/>
  <c r="B106" i="1" s="1"/>
  <c r="C82" i="1"/>
  <c r="C93" i="1" s="1"/>
  <c r="C106" i="1" s="1"/>
  <c r="H82" i="1"/>
  <c r="H93" i="1" s="1"/>
  <c r="H106" i="1" s="1"/>
  <c r="I82" i="1"/>
  <c r="I93" i="1" s="1"/>
  <c r="I106" i="1" s="1"/>
  <c r="C83" i="1"/>
  <c r="C94" i="1" s="1"/>
  <c r="C107" i="1" s="1"/>
  <c r="D83" i="1"/>
  <c r="D94" i="1" s="1"/>
  <c r="D107" i="1" s="1"/>
  <c r="H83" i="1"/>
  <c r="H94" i="1" s="1"/>
  <c r="H107" i="1" s="1"/>
  <c r="J83" i="1"/>
  <c r="J94" i="1" s="1"/>
  <c r="J107" i="1" s="1"/>
  <c r="E84" i="1"/>
  <c r="E95" i="1" s="1"/>
  <c r="E108" i="1" s="1"/>
  <c r="J84" i="1"/>
  <c r="J95" i="1" s="1"/>
  <c r="J108" i="1" s="1"/>
  <c r="E85" i="1"/>
  <c r="E96" i="1" s="1"/>
  <c r="F85" i="1"/>
  <c r="F96" i="1" s="1"/>
  <c r="J85" i="1"/>
  <c r="J96" i="1" s="1"/>
  <c r="K85" i="1"/>
  <c r="K96" i="1"/>
  <c r="P100" i="1"/>
  <c r="Q100" i="1"/>
  <c r="R100" i="1"/>
  <c r="S100" i="1"/>
  <c r="T100" i="1"/>
  <c r="U100" i="1"/>
  <c r="V100" i="1"/>
  <c r="W100" i="1"/>
  <c r="X100" i="1"/>
  <c r="Y100" i="1"/>
  <c r="Z100" i="1"/>
  <c r="P101" i="1"/>
  <c r="Q101" i="1"/>
  <c r="R101" i="1"/>
  <c r="S101" i="1"/>
  <c r="T101" i="1"/>
  <c r="U101" i="1"/>
  <c r="V101" i="1"/>
  <c r="W101" i="1"/>
  <c r="X101" i="1"/>
  <c r="Y101" i="1"/>
  <c r="Z101" i="1"/>
  <c r="P102" i="1"/>
  <c r="Q102" i="1"/>
  <c r="R102" i="1"/>
  <c r="S102" i="1"/>
  <c r="T102" i="1"/>
  <c r="U102" i="1"/>
  <c r="V102" i="1"/>
  <c r="W102" i="1"/>
  <c r="X102" i="1"/>
  <c r="Y102" i="1"/>
  <c r="Z102" i="1"/>
  <c r="P113" i="1"/>
  <c r="Q113" i="1"/>
  <c r="R113" i="1"/>
  <c r="S113" i="1"/>
  <c r="T113" i="1"/>
  <c r="U113" i="1"/>
  <c r="V113" i="1"/>
  <c r="W113" i="1"/>
  <c r="X113" i="1"/>
  <c r="Y113" i="1"/>
  <c r="Z113" i="1"/>
  <c r="P123" i="1"/>
  <c r="Q123" i="1"/>
  <c r="R123" i="1"/>
  <c r="S123" i="1"/>
  <c r="T123" i="1"/>
  <c r="U123" i="1"/>
  <c r="V123" i="1"/>
  <c r="W123" i="1"/>
  <c r="X123" i="1"/>
  <c r="Y123" i="1"/>
  <c r="Z123" i="1"/>
  <c r="P124" i="1"/>
  <c r="Q124" i="1"/>
  <c r="R124" i="1"/>
  <c r="S124" i="1"/>
  <c r="T124" i="1"/>
  <c r="U124" i="1"/>
  <c r="V124" i="1"/>
  <c r="W124" i="1"/>
  <c r="X124" i="1"/>
  <c r="Y124" i="1"/>
  <c r="Z124" i="1"/>
  <c r="P134" i="1"/>
  <c r="Q134" i="1"/>
  <c r="R134" i="1"/>
  <c r="S134" i="1"/>
  <c r="T134" i="1"/>
  <c r="U134" i="1"/>
  <c r="V134" i="1"/>
  <c r="W134" i="1"/>
  <c r="X134" i="1"/>
  <c r="Y134" i="1"/>
  <c r="Z134" i="1"/>
  <c r="P135" i="1"/>
  <c r="Q135" i="1"/>
  <c r="R135" i="1"/>
  <c r="S135" i="1"/>
  <c r="T135" i="1"/>
  <c r="U135" i="1"/>
  <c r="V135" i="1"/>
  <c r="W135" i="1"/>
  <c r="X135" i="1"/>
  <c r="Y135" i="1"/>
  <c r="Z135" i="1"/>
  <c r="P145" i="1"/>
  <c r="Q145" i="1"/>
  <c r="R145" i="1"/>
  <c r="S145" i="1"/>
  <c r="T145" i="1"/>
  <c r="U145" i="1"/>
  <c r="V145" i="1"/>
  <c r="W145" i="1"/>
  <c r="X145" i="1"/>
  <c r="Y145" i="1"/>
  <c r="Z145" i="1"/>
  <c r="P146" i="1"/>
  <c r="Q146" i="1"/>
  <c r="R146" i="1"/>
  <c r="S146" i="1"/>
  <c r="T146" i="1"/>
  <c r="U146" i="1"/>
  <c r="V146" i="1"/>
  <c r="W146" i="1"/>
  <c r="X146" i="1"/>
  <c r="Y146" i="1"/>
  <c r="Z146" i="1"/>
  <c r="P157" i="1"/>
  <c r="Q157" i="1"/>
  <c r="R157" i="1"/>
  <c r="S157" i="1"/>
  <c r="T157" i="1"/>
  <c r="U157" i="1"/>
  <c r="V157" i="1"/>
  <c r="W157" i="1"/>
  <c r="X157" i="1"/>
  <c r="Y157" i="1"/>
  <c r="Z157" i="1"/>
  <c r="P179" i="1"/>
  <c r="Q179" i="1"/>
  <c r="R179" i="1"/>
  <c r="S179" i="1"/>
  <c r="T179" i="1"/>
  <c r="U179" i="1"/>
  <c r="V179" i="1"/>
  <c r="W179" i="1"/>
  <c r="X179" i="1"/>
  <c r="Y179" i="1"/>
  <c r="Z179" i="1"/>
  <c r="B180" i="1"/>
  <c r="C180" i="1"/>
  <c r="D180" i="1"/>
  <c r="E180" i="1"/>
  <c r="F180" i="1"/>
  <c r="G180" i="1"/>
  <c r="H180" i="1"/>
  <c r="I180" i="1"/>
  <c r="J180" i="1"/>
  <c r="K180" i="1"/>
  <c r="L180" i="1"/>
  <c r="A189" i="1"/>
  <c r="B189" i="1"/>
  <c r="C189" i="1"/>
  <c r="P189" i="1"/>
  <c r="Q189" i="1"/>
  <c r="R189" i="1"/>
  <c r="S189" i="1"/>
  <c r="T189" i="1"/>
  <c r="U189" i="1"/>
  <c r="V189" i="1"/>
  <c r="W189" i="1"/>
  <c r="X189" i="1"/>
  <c r="Y189" i="1"/>
  <c r="Z189" i="1"/>
  <c r="P190" i="1"/>
  <c r="Q190" i="1"/>
  <c r="R190" i="1"/>
  <c r="S190" i="1"/>
  <c r="T190" i="1"/>
  <c r="U190" i="1"/>
  <c r="V190" i="1"/>
  <c r="W190" i="1"/>
  <c r="X190" i="1"/>
  <c r="Y190" i="1"/>
  <c r="Z190" i="1"/>
  <c r="A194" i="1"/>
  <c r="B194" i="1"/>
  <c r="C194" i="1"/>
  <c r="H194" i="1"/>
  <c r="I199" i="1"/>
  <c r="P200" i="1"/>
  <c r="Q200" i="1"/>
  <c r="R200" i="1"/>
  <c r="S200" i="1"/>
  <c r="T200" i="1"/>
  <c r="U200" i="1"/>
  <c r="V200" i="1"/>
  <c r="W200" i="1"/>
  <c r="X200" i="1"/>
  <c r="Y200" i="1"/>
  <c r="Z200" i="1"/>
  <c r="P201" i="1"/>
  <c r="Q201" i="1"/>
  <c r="R201" i="1"/>
  <c r="S201" i="1"/>
  <c r="T201" i="1"/>
  <c r="U201" i="1"/>
  <c r="V201" i="1"/>
  <c r="W201" i="1"/>
  <c r="X201" i="1"/>
  <c r="Y201" i="1"/>
  <c r="Z201" i="1"/>
  <c r="P222" i="1"/>
  <c r="Q222" i="1"/>
  <c r="R222" i="1"/>
  <c r="S222" i="1"/>
  <c r="T222" i="1"/>
  <c r="U222" i="1"/>
  <c r="V222" i="1"/>
  <c r="W222" i="1"/>
  <c r="X222" i="1"/>
  <c r="Y222" i="1"/>
  <c r="Z222" i="1"/>
  <c r="P223" i="1"/>
  <c r="Q223" i="1"/>
  <c r="R223" i="1"/>
  <c r="S223" i="1"/>
  <c r="T223" i="1"/>
  <c r="U223" i="1"/>
  <c r="V223" i="1"/>
  <c r="W223" i="1"/>
  <c r="X223" i="1"/>
  <c r="Y223" i="1"/>
  <c r="Z223" i="1"/>
  <c r="P233" i="1"/>
  <c r="Q233" i="1"/>
  <c r="R233" i="1"/>
  <c r="S233" i="1"/>
  <c r="T233" i="1"/>
  <c r="U233" i="1"/>
  <c r="V233" i="1"/>
  <c r="W233" i="1"/>
  <c r="X233" i="1"/>
  <c r="Y233" i="1"/>
  <c r="Z233" i="1"/>
  <c r="P234" i="1"/>
  <c r="Q234" i="1"/>
  <c r="R234" i="1"/>
  <c r="S234" i="1"/>
  <c r="T234" i="1"/>
  <c r="U234" i="1"/>
  <c r="V234" i="1"/>
  <c r="W234" i="1"/>
  <c r="X234" i="1"/>
  <c r="Y234" i="1"/>
  <c r="Z234" i="1"/>
  <c r="P244" i="1"/>
  <c r="Q244" i="1"/>
  <c r="R244" i="1"/>
  <c r="S244" i="1"/>
  <c r="T244" i="1"/>
  <c r="U244" i="1"/>
  <c r="V244" i="1"/>
  <c r="W244" i="1"/>
  <c r="X244" i="1"/>
  <c r="Y244" i="1"/>
  <c r="Z244" i="1"/>
  <c r="P245" i="1"/>
  <c r="Q245" i="1"/>
  <c r="R245" i="1"/>
  <c r="S245" i="1"/>
  <c r="T245" i="1"/>
  <c r="U245" i="1"/>
  <c r="V245" i="1"/>
  <c r="W245" i="1"/>
  <c r="X245" i="1"/>
  <c r="Y245" i="1"/>
  <c r="Z245" i="1"/>
  <c r="P255" i="1"/>
  <c r="Q255" i="1"/>
  <c r="R255" i="1"/>
  <c r="S255" i="1"/>
  <c r="T255" i="1"/>
  <c r="U255" i="1"/>
  <c r="V255" i="1"/>
  <c r="W255" i="1"/>
  <c r="X255" i="1"/>
  <c r="Y255" i="1"/>
  <c r="Z255" i="1"/>
  <c r="P256" i="1"/>
  <c r="Q256" i="1"/>
  <c r="R256" i="1"/>
  <c r="S256" i="1"/>
  <c r="T256" i="1"/>
  <c r="U256" i="1"/>
  <c r="V256" i="1"/>
  <c r="W256" i="1"/>
  <c r="X256" i="1"/>
  <c r="Y256" i="1"/>
  <c r="Z256" i="1"/>
  <c r="P266" i="1"/>
  <c r="Q266" i="1"/>
  <c r="R266" i="1"/>
  <c r="S266" i="1"/>
  <c r="T266" i="1"/>
  <c r="U266" i="1"/>
  <c r="V266" i="1"/>
  <c r="W266" i="1"/>
  <c r="X266" i="1"/>
  <c r="Y266" i="1"/>
  <c r="Z266" i="1"/>
  <c r="P267" i="1"/>
  <c r="Q267" i="1"/>
  <c r="R267" i="1"/>
  <c r="S267" i="1"/>
  <c r="T267" i="1"/>
  <c r="U267" i="1"/>
  <c r="V267" i="1"/>
  <c r="W267" i="1"/>
  <c r="X267" i="1"/>
  <c r="Y267" i="1"/>
  <c r="Z267" i="1"/>
  <c r="P276" i="1"/>
  <c r="Q276" i="1"/>
  <c r="R276" i="1"/>
  <c r="S276" i="1"/>
  <c r="T276" i="1"/>
  <c r="U276" i="1"/>
  <c r="V276" i="1"/>
  <c r="W276" i="1"/>
  <c r="X276" i="1"/>
  <c r="Y276" i="1"/>
  <c r="Z276" i="1"/>
  <c r="P277" i="1"/>
  <c r="Q277" i="1"/>
  <c r="R277" i="1"/>
  <c r="S277" i="1"/>
  <c r="T277" i="1"/>
  <c r="U277" i="1"/>
  <c r="V277" i="1"/>
  <c r="W277" i="1"/>
  <c r="X277" i="1"/>
  <c r="Y277" i="1"/>
  <c r="Z277" i="1"/>
  <c r="P278" i="1"/>
  <c r="Q278" i="1"/>
  <c r="R278" i="1"/>
  <c r="S278" i="1"/>
  <c r="T278" i="1"/>
  <c r="U278" i="1"/>
  <c r="V278" i="1"/>
  <c r="W278" i="1"/>
  <c r="X278" i="1"/>
  <c r="Y278" i="1"/>
  <c r="Z278" i="1"/>
  <c r="P299" i="1"/>
  <c r="Q299" i="1"/>
  <c r="R299" i="1"/>
  <c r="S299" i="1"/>
  <c r="T299" i="1"/>
  <c r="U299" i="1"/>
  <c r="V299" i="1"/>
  <c r="W299" i="1"/>
  <c r="X299" i="1"/>
  <c r="Y299" i="1"/>
  <c r="Z299" i="1"/>
  <c r="P300" i="1"/>
  <c r="Q300" i="1"/>
  <c r="R300" i="1"/>
  <c r="S300" i="1"/>
  <c r="T300" i="1"/>
  <c r="U300" i="1"/>
  <c r="V300" i="1"/>
  <c r="W300" i="1"/>
  <c r="X300" i="1"/>
  <c r="Y300" i="1"/>
  <c r="Z300" i="1"/>
  <c r="P311" i="1"/>
  <c r="Q311" i="1"/>
  <c r="R311" i="1"/>
  <c r="S311" i="1"/>
  <c r="T311" i="1"/>
  <c r="U311" i="1"/>
  <c r="V311" i="1"/>
  <c r="W311" i="1"/>
  <c r="X311" i="1"/>
  <c r="Y311" i="1"/>
  <c r="Z311" i="1"/>
  <c r="P320" i="1"/>
  <c r="Q320" i="1"/>
  <c r="R320" i="1"/>
  <c r="S320" i="1"/>
  <c r="T320" i="1"/>
  <c r="U320" i="1"/>
  <c r="V320" i="1"/>
  <c r="W320" i="1"/>
  <c r="X320" i="1"/>
  <c r="Y320" i="1"/>
  <c r="Z320" i="1"/>
  <c r="P321" i="1"/>
  <c r="Q321" i="1"/>
  <c r="R321" i="1"/>
  <c r="S321" i="1"/>
  <c r="T321" i="1"/>
  <c r="U321" i="1"/>
  <c r="V321" i="1"/>
  <c r="W321" i="1"/>
  <c r="X321" i="1"/>
  <c r="Y321" i="1"/>
  <c r="Z321" i="1"/>
  <c r="P322" i="1"/>
  <c r="Q322" i="1"/>
  <c r="R322" i="1"/>
  <c r="S322" i="1"/>
  <c r="T322" i="1"/>
  <c r="U322" i="1"/>
  <c r="V322" i="1"/>
  <c r="W322" i="1"/>
  <c r="X322" i="1"/>
  <c r="Y322" i="1"/>
  <c r="Z322" i="1"/>
  <c r="P333" i="1"/>
  <c r="Q333" i="1"/>
  <c r="R333" i="1"/>
  <c r="S333" i="1"/>
  <c r="T333" i="1"/>
  <c r="U333" i="1"/>
  <c r="V333" i="1"/>
  <c r="W333" i="1"/>
  <c r="X333" i="1"/>
  <c r="Y333" i="1"/>
  <c r="Z333" i="1"/>
  <c r="P343" i="1"/>
  <c r="Q343" i="1"/>
  <c r="R343" i="1"/>
  <c r="S343" i="1"/>
  <c r="T343" i="1"/>
  <c r="U343" i="1"/>
  <c r="V343" i="1"/>
  <c r="W343" i="1"/>
  <c r="X343" i="1"/>
  <c r="Y343" i="1"/>
  <c r="Z343" i="1"/>
  <c r="P344" i="1"/>
  <c r="Q344" i="1"/>
  <c r="R344" i="1"/>
  <c r="S344" i="1"/>
  <c r="T344" i="1"/>
  <c r="U344" i="1"/>
  <c r="V344" i="1"/>
  <c r="W344" i="1"/>
  <c r="X344" i="1"/>
  <c r="Y344" i="1"/>
  <c r="Z344" i="1"/>
  <c r="P355" i="1"/>
  <c r="Q355" i="1"/>
  <c r="R355" i="1"/>
  <c r="S355" i="1"/>
  <c r="T355" i="1"/>
  <c r="U355" i="1"/>
  <c r="V355" i="1"/>
  <c r="W355" i="1"/>
  <c r="X355" i="1"/>
  <c r="Y355" i="1"/>
  <c r="Z355" i="1"/>
  <c r="P365" i="1"/>
  <c r="Q365" i="1"/>
  <c r="R365" i="1"/>
  <c r="S365" i="1"/>
  <c r="T365" i="1"/>
  <c r="U365" i="1"/>
  <c r="V365" i="1"/>
  <c r="W365" i="1"/>
  <c r="X365" i="1"/>
  <c r="Y365" i="1"/>
  <c r="Z365" i="1"/>
  <c r="P366" i="1"/>
  <c r="Q366" i="1"/>
  <c r="R366" i="1"/>
  <c r="S366" i="1"/>
  <c r="T366" i="1"/>
  <c r="U366" i="1"/>
  <c r="V366" i="1"/>
  <c r="W366" i="1"/>
  <c r="X366" i="1"/>
  <c r="Y366" i="1"/>
  <c r="Z366" i="1"/>
  <c r="P376" i="1"/>
  <c r="Q376" i="1"/>
  <c r="R376" i="1"/>
  <c r="S376" i="1"/>
  <c r="T376" i="1"/>
  <c r="U376" i="1"/>
  <c r="V376" i="1"/>
  <c r="W376" i="1"/>
  <c r="X376" i="1"/>
  <c r="Y376" i="1"/>
  <c r="Z376" i="1"/>
  <c r="P377" i="1"/>
  <c r="Q377" i="1"/>
  <c r="R377" i="1"/>
  <c r="S377" i="1"/>
  <c r="T377" i="1"/>
  <c r="U377" i="1"/>
  <c r="V377" i="1"/>
  <c r="W377" i="1"/>
  <c r="X377" i="1"/>
  <c r="Y377" i="1"/>
  <c r="Z377" i="1"/>
  <c r="P387" i="1"/>
  <c r="Q387" i="1"/>
  <c r="R387" i="1"/>
  <c r="S387" i="1"/>
  <c r="T387" i="1"/>
  <c r="U387" i="1"/>
  <c r="V387" i="1"/>
  <c r="W387" i="1"/>
  <c r="X387" i="1"/>
  <c r="Y387" i="1"/>
  <c r="Z387" i="1"/>
  <c r="P388" i="1"/>
  <c r="Q388" i="1"/>
  <c r="R388" i="1"/>
  <c r="S388" i="1"/>
  <c r="T388" i="1"/>
  <c r="U388" i="1"/>
  <c r="V388" i="1"/>
  <c r="W388" i="1"/>
  <c r="X388" i="1"/>
  <c r="Y388" i="1"/>
  <c r="Z388" i="1"/>
  <c r="P398" i="1"/>
  <c r="Q398" i="1"/>
  <c r="R398" i="1"/>
  <c r="S398" i="1"/>
  <c r="T398" i="1"/>
  <c r="U398" i="1"/>
  <c r="V398" i="1"/>
  <c r="W398" i="1"/>
  <c r="X398" i="1"/>
  <c r="Y398" i="1"/>
  <c r="Z398" i="1"/>
  <c r="P399" i="1"/>
  <c r="Q399" i="1"/>
  <c r="R399" i="1"/>
  <c r="S399" i="1"/>
  <c r="T399" i="1"/>
  <c r="U399" i="1"/>
  <c r="V399" i="1"/>
  <c r="W399" i="1"/>
  <c r="X399" i="1"/>
  <c r="Y399" i="1"/>
  <c r="Z399" i="1"/>
  <c r="P410" i="1"/>
  <c r="Q410" i="1"/>
  <c r="R410" i="1"/>
  <c r="S410" i="1"/>
  <c r="T410" i="1"/>
  <c r="U410" i="1"/>
  <c r="V410" i="1"/>
  <c r="W410" i="1"/>
  <c r="X410" i="1"/>
  <c r="Y410" i="1"/>
  <c r="Z410" i="1"/>
  <c r="P420" i="1"/>
  <c r="Q420" i="1"/>
  <c r="R420" i="1"/>
  <c r="S420" i="1"/>
  <c r="T420" i="1"/>
  <c r="U420" i="1"/>
  <c r="V420" i="1"/>
  <c r="W420" i="1"/>
  <c r="X420" i="1"/>
  <c r="Y420" i="1"/>
  <c r="Z420" i="1"/>
  <c r="P421" i="1"/>
  <c r="Q421" i="1"/>
  <c r="R421" i="1"/>
  <c r="S421" i="1"/>
  <c r="T421" i="1"/>
  <c r="U421" i="1"/>
  <c r="V421" i="1"/>
  <c r="W421" i="1"/>
  <c r="X421" i="1"/>
  <c r="Y421" i="1"/>
  <c r="Z421" i="1"/>
  <c r="P431" i="1"/>
  <c r="Q431" i="1"/>
  <c r="R431" i="1"/>
  <c r="S431" i="1"/>
  <c r="T431" i="1"/>
  <c r="U431" i="1"/>
  <c r="V431" i="1"/>
  <c r="W431" i="1"/>
  <c r="X431" i="1"/>
  <c r="Y431" i="1"/>
  <c r="Z431" i="1"/>
  <c r="P432" i="1"/>
  <c r="Q432" i="1"/>
  <c r="R432" i="1"/>
  <c r="S432" i="1"/>
  <c r="T432" i="1"/>
  <c r="U432" i="1"/>
  <c r="V432" i="1"/>
  <c r="W432" i="1"/>
  <c r="X432" i="1"/>
  <c r="Y432" i="1"/>
  <c r="Z432" i="1"/>
  <c r="P442" i="1"/>
  <c r="Q442" i="1"/>
  <c r="R442" i="1"/>
  <c r="S442" i="1"/>
  <c r="T442" i="1"/>
  <c r="U442" i="1"/>
  <c r="V442" i="1"/>
  <c r="W442" i="1"/>
  <c r="X442" i="1"/>
  <c r="Y442" i="1"/>
  <c r="Z442" i="1"/>
  <c r="P443" i="1"/>
  <c r="Q443" i="1"/>
  <c r="R443" i="1"/>
  <c r="S443" i="1"/>
  <c r="T443" i="1"/>
  <c r="U443" i="1"/>
  <c r="V443" i="1"/>
  <c r="W443" i="1"/>
  <c r="X443" i="1"/>
  <c r="Y443" i="1"/>
  <c r="Z443" i="1"/>
  <c r="P453" i="1"/>
  <c r="Q453" i="1"/>
  <c r="R453" i="1"/>
  <c r="S453" i="1"/>
  <c r="T453" i="1"/>
  <c r="U453" i="1"/>
  <c r="V453" i="1"/>
  <c r="W453" i="1"/>
  <c r="X453" i="1"/>
  <c r="Y453" i="1"/>
  <c r="Z453" i="1"/>
  <c r="P454" i="1"/>
  <c r="Q454" i="1"/>
  <c r="R454" i="1"/>
  <c r="S454" i="1"/>
  <c r="T454" i="1"/>
  <c r="U454" i="1"/>
  <c r="V454" i="1"/>
  <c r="W454" i="1"/>
  <c r="X454" i="1"/>
  <c r="Y454" i="1"/>
  <c r="Z454" i="1"/>
  <c r="P465" i="1"/>
  <c r="Q465" i="1"/>
  <c r="R465" i="1"/>
  <c r="S465" i="1"/>
  <c r="T465" i="1"/>
  <c r="U465" i="1"/>
  <c r="V465" i="1"/>
  <c r="W465" i="1"/>
  <c r="X465" i="1"/>
  <c r="Y465" i="1"/>
  <c r="Z465" i="1"/>
  <c r="P475" i="1"/>
  <c r="Q475" i="1"/>
  <c r="R475" i="1"/>
  <c r="S475" i="1"/>
  <c r="T475" i="1"/>
  <c r="U475" i="1"/>
  <c r="V475" i="1"/>
  <c r="W475" i="1"/>
  <c r="X475" i="1"/>
  <c r="Y475" i="1"/>
  <c r="Z475" i="1"/>
  <c r="P476" i="1"/>
  <c r="Q476" i="1"/>
  <c r="R476" i="1"/>
  <c r="S476" i="1"/>
  <c r="T476" i="1"/>
  <c r="U476" i="1"/>
  <c r="V476" i="1"/>
  <c r="W476" i="1"/>
  <c r="X476" i="1"/>
  <c r="Y476" i="1"/>
  <c r="Z476" i="1"/>
  <c r="P486" i="1"/>
  <c r="Q486" i="1"/>
  <c r="R486" i="1"/>
  <c r="S486" i="1"/>
  <c r="T486" i="1"/>
  <c r="U486" i="1"/>
  <c r="V486" i="1"/>
  <c r="W486" i="1"/>
  <c r="X486" i="1"/>
  <c r="Y486" i="1"/>
  <c r="Z486" i="1"/>
  <c r="P487" i="1"/>
  <c r="Q487" i="1"/>
  <c r="R487" i="1"/>
  <c r="S487" i="1"/>
  <c r="T487" i="1"/>
  <c r="U487" i="1"/>
  <c r="V487" i="1"/>
  <c r="W487" i="1"/>
  <c r="X487" i="1"/>
  <c r="Y487" i="1"/>
  <c r="Z487" i="1"/>
  <c r="P497" i="1"/>
  <c r="Q497" i="1"/>
  <c r="R497" i="1"/>
  <c r="S497" i="1"/>
  <c r="T497" i="1"/>
  <c r="U497" i="1"/>
  <c r="V497" i="1"/>
  <c r="W497" i="1"/>
  <c r="X497" i="1"/>
  <c r="Y497" i="1"/>
  <c r="Z497" i="1"/>
  <c r="P498" i="1"/>
  <c r="Q498" i="1"/>
  <c r="R498" i="1"/>
  <c r="S498" i="1"/>
  <c r="T498" i="1"/>
  <c r="U498" i="1"/>
  <c r="V498" i="1"/>
  <c r="W498" i="1"/>
  <c r="X498" i="1"/>
  <c r="Y498" i="1"/>
  <c r="Z498" i="1"/>
  <c r="P519" i="1"/>
  <c r="Q519" i="1"/>
  <c r="R519" i="1"/>
  <c r="S519" i="1"/>
  <c r="T519" i="1"/>
  <c r="U519" i="1"/>
  <c r="V519" i="1"/>
  <c r="W519" i="1"/>
  <c r="X519" i="1"/>
  <c r="Y519" i="1"/>
  <c r="Z519" i="1"/>
  <c r="P520" i="1"/>
  <c r="Q520" i="1"/>
  <c r="R520" i="1"/>
  <c r="S520" i="1"/>
  <c r="T520" i="1"/>
  <c r="U520" i="1"/>
  <c r="V520" i="1"/>
  <c r="W520" i="1"/>
  <c r="X520" i="1"/>
  <c r="Y520" i="1"/>
  <c r="Z520" i="1"/>
  <c r="P529" i="1"/>
  <c r="Q529" i="1"/>
  <c r="R529" i="1"/>
  <c r="S529" i="1"/>
  <c r="T529" i="1"/>
  <c r="U529" i="1"/>
  <c r="V529" i="1"/>
  <c r="W529" i="1"/>
  <c r="X529" i="1"/>
  <c r="Y529" i="1"/>
  <c r="Z529" i="1"/>
  <c r="P530" i="1"/>
  <c r="Q530" i="1"/>
  <c r="R530" i="1"/>
  <c r="S530" i="1"/>
  <c r="T530" i="1"/>
  <c r="U530" i="1"/>
  <c r="V530" i="1"/>
  <c r="W530" i="1"/>
  <c r="X530" i="1"/>
  <c r="Y530" i="1"/>
  <c r="Z530" i="1"/>
  <c r="P531" i="1"/>
  <c r="Q531" i="1"/>
  <c r="R531" i="1"/>
  <c r="S531" i="1"/>
  <c r="T531" i="1"/>
  <c r="U531" i="1"/>
  <c r="V531" i="1"/>
  <c r="W531" i="1"/>
  <c r="X531" i="1"/>
  <c r="Y531" i="1"/>
  <c r="Z531" i="1"/>
  <c r="P541" i="1"/>
  <c r="Q541" i="1"/>
  <c r="R541" i="1"/>
  <c r="S541" i="1"/>
  <c r="T541" i="1"/>
  <c r="U541" i="1"/>
  <c r="V541" i="1"/>
  <c r="W541" i="1"/>
  <c r="X541" i="1"/>
  <c r="Y541" i="1"/>
  <c r="Z541" i="1"/>
  <c r="P542" i="1"/>
  <c r="Q542" i="1"/>
  <c r="R542" i="1"/>
  <c r="S542" i="1"/>
  <c r="T542" i="1"/>
  <c r="U542" i="1"/>
  <c r="V542" i="1"/>
  <c r="W542" i="1"/>
  <c r="X542" i="1"/>
  <c r="Y542" i="1"/>
  <c r="Z542" i="1"/>
  <c r="P551" i="1"/>
  <c r="Q551" i="1"/>
  <c r="R551" i="1"/>
  <c r="S551" i="1"/>
  <c r="T551" i="1"/>
  <c r="U551" i="1"/>
  <c r="V551" i="1"/>
  <c r="W551" i="1"/>
  <c r="X551" i="1"/>
  <c r="Y551" i="1"/>
  <c r="Z551" i="1"/>
  <c r="P552" i="1"/>
  <c r="Q552" i="1"/>
  <c r="R552" i="1"/>
  <c r="S552" i="1"/>
  <c r="T552" i="1"/>
  <c r="U552" i="1"/>
  <c r="V552" i="1"/>
  <c r="W552" i="1"/>
  <c r="X552" i="1"/>
  <c r="Y552" i="1"/>
  <c r="Z552" i="1"/>
  <c r="P553" i="1"/>
  <c r="Q553" i="1"/>
  <c r="R553" i="1"/>
  <c r="S553" i="1"/>
  <c r="T553" i="1"/>
  <c r="U553" i="1"/>
  <c r="V553" i="1"/>
  <c r="W553" i="1"/>
  <c r="X553" i="1"/>
  <c r="Y553" i="1"/>
  <c r="Z553" i="1"/>
  <c r="P573" i="1"/>
  <c r="Q573" i="1"/>
  <c r="R573" i="1"/>
  <c r="S573" i="1"/>
  <c r="T573" i="1"/>
  <c r="U573" i="1"/>
  <c r="V573" i="1"/>
  <c r="W573" i="1"/>
  <c r="X573" i="1"/>
  <c r="Y573" i="1"/>
  <c r="Z573" i="1"/>
  <c r="P574" i="1"/>
  <c r="Q574" i="1"/>
  <c r="R574" i="1"/>
  <c r="S574" i="1"/>
  <c r="T574" i="1"/>
  <c r="U574" i="1"/>
  <c r="V574" i="1"/>
  <c r="W574" i="1"/>
  <c r="X574" i="1"/>
  <c r="Y574" i="1"/>
  <c r="Z574" i="1"/>
  <c r="P575" i="1"/>
  <c r="Q575" i="1"/>
  <c r="R575" i="1"/>
  <c r="S575" i="1"/>
  <c r="T575" i="1"/>
  <c r="U575" i="1"/>
  <c r="V575" i="1"/>
  <c r="W575" i="1"/>
  <c r="X575" i="1"/>
  <c r="Y575" i="1"/>
  <c r="Z575" i="1"/>
  <c r="P585" i="1"/>
  <c r="Q585" i="1"/>
  <c r="R585" i="1"/>
  <c r="S585" i="1"/>
  <c r="T585" i="1"/>
  <c r="U585" i="1"/>
  <c r="V585" i="1"/>
  <c r="W585" i="1"/>
  <c r="X585" i="1"/>
  <c r="Y585" i="1"/>
  <c r="Z585" i="1"/>
  <c r="P586" i="1"/>
  <c r="Q586" i="1"/>
  <c r="R586" i="1"/>
  <c r="S586" i="1"/>
  <c r="T586" i="1"/>
  <c r="U586" i="1"/>
  <c r="V586" i="1"/>
  <c r="W586" i="1"/>
  <c r="X586" i="1"/>
  <c r="Y586" i="1"/>
  <c r="Z586" i="1"/>
  <c r="P597" i="1"/>
  <c r="Q597" i="1"/>
  <c r="R597" i="1"/>
  <c r="S597" i="1"/>
  <c r="T597" i="1"/>
  <c r="U597" i="1"/>
  <c r="V597" i="1"/>
  <c r="W597" i="1"/>
  <c r="X597" i="1"/>
  <c r="Y597" i="1"/>
  <c r="Z597" i="1"/>
  <c r="P618" i="1"/>
  <c r="Q618" i="1"/>
  <c r="R618" i="1"/>
  <c r="S618" i="1"/>
  <c r="T618" i="1"/>
  <c r="U618" i="1"/>
  <c r="V618" i="1"/>
  <c r="W618" i="1"/>
  <c r="X618" i="1"/>
  <c r="Y618" i="1"/>
  <c r="Z618" i="1"/>
  <c r="P619" i="1"/>
  <c r="Q619" i="1"/>
  <c r="R619" i="1"/>
  <c r="S619" i="1"/>
  <c r="T619" i="1"/>
  <c r="U619" i="1"/>
  <c r="V619" i="1"/>
  <c r="W619" i="1"/>
  <c r="X619" i="1"/>
  <c r="Y619" i="1"/>
  <c r="Z619" i="1"/>
  <c r="P629" i="1"/>
  <c r="Q629" i="1"/>
  <c r="R629" i="1"/>
  <c r="S629" i="1"/>
  <c r="T629" i="1"/>
  <c r="U629" i="1"/>
  <c r="V629" i="1"/>
  <c r="W629" i="1"/>
  <c r="X629" i="1"/>
  <c r="Y629" i="1"/>
  <c r="Z629" i="1"/>
  <c r="P630" i="1"/>
  <c r="Q630" i="1"/>
  <c r="R630" i="1"/>
  <c r="S630" i="1"/>
  <c r="T630" i="1"/>
  <c r="U630" i="1"/>
  <c r="V630" i="1"/>
  <c r="W630" i="1"/>
  <c r="X630" i="1"/>
  <c r="Y630" i="1"/>
  <c r="Z630" i="1"/>
  <c r="P640" i="1"/>
  <c r="Q640" i="1"/>
  <c r="R640" i="1"/>
  <c r="S640" i="1"/>
  <c r="T640" i="1"/>
  <c r="U640" i="1"/>
  <c r="V640" i="1"/>
  <c r="W640" i="1"/>
  <c r="X640" i="1"/>
  <c r="Y640" i="1"/>
  <c r="Z640" i="1"/>
  <c r="P641" i="1"/>
  <c r="Q641" i="1"/>
  <c r="R641" i="1"/>
  <c r="S641" i="1"/>
  <c r="T641" i="1"/>
  <c r="U641" i="1"/>
  <c r="V641" i="1"/>
  <c r="W641" i="1"/>
  <c r="X641" i="1"/>
  <c r="Y641" i="1"/>
  <c r="Z641" i="1"/>
  <c r="P651" i="1"/>
  <c r="Q651" i="1"/>
  <c r="R651" i="1"/>
  <c r="S651" i="1"/>
  <c r="T651" i="1"/>
  <c r="U651" i="1"/>
  <c r="V651" i="1"/>
  <c r="W651" i="1"/>
  <c r="X651" i="1"/>
  <c r="Y651" i="1"/>
  <c r="Z651" i="1"/>
  <c r="P652" i="1"/>
  <c r="Q652" i="1"/>
  <c r="R652" i="1"/>
  <c r="S652" i="1"/>
  <c r="T652" i="1"/>
  <c r="U652" i="1"/>
  <c r="V652" i="1"/>
  <c r="W652" i="1"/>
  <c r="X652" i="1"/>
  <c r="Y652" i="1"/>
  <c r="Z652" i="1"/>
  <c r="P662" i="1"/>
  <c r="Q662" i="1"/>
  <c r="R662" i="1"/>
  <c r="S662" i="1"/>
  <c r="T662" i="1"/>
  <c r="U662" i="1"/>
  <c r="V662" i="1"/>
  <c r="W662" i="1"/>
  <c r="X662" i="1"/>
  <c r="Y662" i="1"/>
  <c r="Z662" i="1"/>
  <c r="P663" i="1"/>
  <c r="Q663" i="1"/>
  <c r="R663" i="1"/>
  <c r="S663" i="1"/>
  <c r="T663" i="1"/>
  <c r="U663" i="1"/>
  <c r="V663" i="1"/>
  <c r="W663" i="1"/>
  <c r="X663" i="1"/>
  <c r="Y663" i="1"/>
  <c r="Z663" i="1"/>
  <c r="P674" i="1"/>
  <c r="Q674" i="1"/>
  <c r="R674" i="1"/>
  <c r="S674" i="1"/>
  <c r="T674" i="1"/>
  <c r="U674" i="1"/>
  <c r="V674" i="1"/>
  <c r="W674" i="1"/>
  <c r="X674" i="1"/>
  <c r="Y674" i="1"/>
  <c r="Z674" i="1"/>
  <c r="P683" i="1"/>
  <c r="Q683" i="1"/>
  <c r="R683" i="1"/>
  <c r="S683" i="1"/>
  <c r="T683" i="1"/>
  <c r="U683" i="1"/>
  <c r="V683" i="1"/>
  <c r="W683" i="1"/>
  <c r="X683" i="1"/>
  <c r="Y683" i="1"/>
  <c r="Z683" i="1"/>
  <c r="P684" i="1"/>
  <c r="Q684" i="1"/>
  <c r="R684" i="1"/>
  <c r="S684" i="1"/>
  <c r="T684" i="1"/>
  <c r="U684" i="1"/>
  <c r="V684" i="1"/>
  <c r="W684" i="1"/>
  <c r="X684" i="1"/>
  <c r="Y684" i="1"/>
  <c r="Z684" i="1"/>
  <c r="P685" i="1"/>
  <c r="Q685" i="1"/>
  <c r="R685" i="1"/>
  <c r="S685" i="1"/>
  <c r="T685" i="1"/>
  <c r="U685" i="1"/>
  <c r="V685" i="1"/>
  <c r="W685" i="1"/>
  <c r="X685" i="1"/>
  <c r="Y685" i="1"/>
  <c r="Z685" i="1"/>
  <c r="P695" i="1"/>
  <c r="Q695" i="1"/>
  <c r="R695" i="1"/>
  <c r="S695" i="1"/>
  <c r="T695" i="1"/>
  <c r="U695" i="1"/>
  <c r="V695" i="1"/>
  <c r="W695" i="1"/>
  <c r="X695" i="1"/>
  <c r="Y695" i="1"/>
  <c r="Z695" i="1"/>
  <c r="P696" i="1"/>
  <c r="Q696" i="1"/>
  <c r="R696" i="1"/>
  <c r="S696" i="1"/>
  <c r="T696" i="1"/>
  <c r="U696" i="1"/>
  <c r="V696" i="1"/>
  <c r="W696" i="1"/>
  <c r="X696" i="1"/>
  <c r="Y696" i="1"/>
  <c r="Z696" i="1"/>
  <c r="P717" i="1"/>
  <c r="Q717" i="1"/>
  <c r="R717" i="1"/>
  <c r="S717" i="1"/>
  <c r="T717" i="1"/>
  <c r="U717" i="1"/>
  <c r="V717" i="1"/>
  <c r="W717" i="1"/>
  <c r="X717" i="1"/>
  <c r="Y717" i="1"/>
  <c r="Z717" i="1"/>
  <c r="P718" i="1"/>
  <c r="Q718" i="1"/>
  <c r="R718" i="1"/>
  <c r="S718" i="1"/>
  <c r="T718" i="1"/>
  <c r="U718" i="1"/>
  <c r="V718" i="1"/>
  <c r="W718" i="1"/>
  <c r="X718" i="1"/>
  <c r="Y718" i="1"/>
  <c r="Z718" i="1"/>
  <c r="P728" i="1"/>
  <c r="Q728" i="1"/>
  <c r="R728" i="1"/>
  <c r="S728" i="1"/>
  <c r="T728" i="1"/>
  <c r="U728" i="1"/>
  <c r="V728" i="1"/>
  <c r="W728" i="1"/>
  <c r="X728" i="1"/>
  <c r="Y728" i="1"/>
  <c r="Z728" i="1"/>
  <c r="P729" i="1"/>
  <c r="Q729" i="1"/>
  <c r="R729" i="1"/>
  <c r="S729" i="1"/>
  <c r="T729" i="1"/>
  <c r="U729" i="1"/>
  <c r="V729" i="1"/>
  <c r="W729" i="1"/>
  <c r="X729" i="1"/>
  <c r="Y729" i="1"/>
  <c r="Z729" i="1"/>
  <c r="P750" i="1"/>
  <c r="Q750" i="1"/>
  <c r="R750" i="1"/>
  <c r="S750" i="1"/>
  <c r="T750" i="1"/>
  <c r="U750" i="1"/>
  <c r="V750" i="1"/>
  <c r="W750" i="1"/>
  <c r="X750" i="1"/>
  <c r="Y750" i="1"/>
  <c r="Z750" i="1"/>
  <c r="P751" i="1"/>
  <c r="Q751" i="1"/>
  <c r="R751" i="1"/>
  <c r="S751" i="1"/>
  <c r="T751" i="1"/>
  <c r="U751" i="1"/>
  <c r="V751" i="1"/>
  <c r="W751" i="1"/>
  <c r="X751" i="1"/>
  <c r="Y751" i="1"/>
  <c r="Z751" i="1"/>
  <c r="D194" i="1"/>
  <c r="K62" i="1"/>
  <c r="C62" i="1"/>
  <c r="C58" i="1"/>
  <c r="E57" i="1"/>
  <c r="H56" i="1"/>
  <c r="K55" i="1"/>
  <c r="E55" i="1"/>
  <c r="I55" i="1"/>
  <c r="B56" i="1"/>
  <c r="E58" i="1"/>
  <c r="I58" i="1"/>
  <c r="C59" i="1"/>
  <c r="G59" i="1"/>
  <c r="K59" i="1"/>
  <c r="D60" i="1"/>
  <c r="H60" i="1"/>
  <c r="J62" i="1"/>
  <c r="C66" i="1"/>
  <c r="D32" i="1"/>
  <c r="F32" i="1"/>
  <c r="H32" i="1" s="1"/>
  <c r="D33" i="1"/>
  <c r="F33" i="1" s="1"/>
  <c r="H33" i="1" s="1"/>
  <c r="D36" i="1"/>
  <c r="F36" i="1" s="1"/>
  <c r="H36" i="1" s="1"/>
  <c r="D55" i="1"/>
  <c r="H55" i="1"/>
  <c r="J57" i="1"/>
  <c r="D58" i="1"/>
  <c r="H58" i="1"/>
  <c r="L58" i="1"/>
  <c r="B59" i="1"/>
  <c r="F59" i="1"/>
  <c r="J59" i="1"/>
  <c r="L61" i="1"/>
  <c r="E62" i="1"/>
  <c r="I62" i="1"/>
  <c r="B66" i="1"/>
  <c r="F66" i="1"/>
  <c r="J66" i="1"/>
  <c r="C67" i="1"/>
  <c r="L80" i="1"/>
  <c r="L91" i="1" s="1"/>
  <c r="L104" i="1" s="1"/>
  <c r="I80" i="1"/>
  <c r="I91" i="1" s="1"/>
  <c r="I104" i="1" s="1"/>
  <c r="I79" i="1"/>
  <c r="I90" i="1"/>
  <c r="I103" i="1"/>
  <c r="J78" i="1"/>
  <c r="J89" i="1" s="1"/>
  <c r="J73" i="1"/>
  <c r="F73" i="1"/>
  <c r="B73" i="1"/>
  <c r="I72" i="1"/>
  <c r="E72" i="1"/>
  <c r="L71" i="1"/>
  <c r="I69" i="1"/>
  <c r="E69" i="1"/>
  <c r="K68" i="1"/>
  <c r="G68" i="1"/>
  <c r="C68" i="1"/>
  <c r="J67" i="1"/>
  <c r="E67" i="1"/>
  <c r="H59" i="1"/>
  <c r="B58" i="1"/>
  <c r="L57" i="1"/>
  <c r="L56" i="1"/>
  <c r="C56" i="1"/>
  <c r="B55" i="1"/>
  <c r="C55" i="1"/>
  <c r="G58" i="1"/>
  <c r="H57" i="1"/>
  <c r="G56" i="1"/>
  <c r="C105" i="1"/>
  <c r="J60" i="1"/>
  <c r="H62" i="1"/>
  <c r="L66" i="1"/>
  <c r="H67" i="1"/>
  <c r="B68" i="1"/>
  <c r="H68" i="1"/>
  <c r="C69" i="1"/>
  <c r="H69" i="1"/>
  <c r="C72" i="1"/>
  <c r="H72" i="1"/>
  <c r="C73" i="1"/>
  <c r="H73" i="1"/>
  <c r="B78" i="1"/>
  <c r="B89" i="1" s="1"/>
  <c r="B102" i="1" s="1"/>
  <c r="C79" i="1"/>
  <c r="C90" i="1" s="1"/>
  <c r="C103" i="1" s="1"/>
  <c r="K79" i="1"/>
  <c r="K90" i="1" s="1"/>
  <c r="K103" i="1" s="1"/>
  <c r="H80" i="1"/>
  <c r="H91" i="1" s="1"/>
  <c r="H104" i="1" s="1"/>
  <c r="E81" i="1"/>
  <c r="E92" i="1" s="1"/>
  <c r="E105" i="1" s="1"/>
  <c r="F82" i="1"/>
  <c r="F93" i="1" s="1"/>
  <c r="F106" i="1" s="1"/>
  <c r="L83" i="1"/>
  <c r="L94" i="1"/>
  <c r="L107" i="1"/>
  <c r="D84" i="1"/>
  <c r="D95" i="1"/>
  <c r="D108" i="1"/>
  <c r="G84" i="1"/>
  <c r="G95" i="1" s="1"/>
  <c r="G108" i="1" s="1"/>
  <c r="D85" i="1"/>
  <c r="D96" i="1" s="1"/>
  <c r="G85" i="1"/>
  <c r="G96" i="1"/>
  <c r="G109" i="1" s="1"/>
  <c r="I85" i="1"/>
  <c r="I96" i="1" s="1"/>
  <c r="I148" i="1" s="1"/>
  <c r="I177" i="1" s="1"/>
  <c r="L85" i="1"/>
  <c r="L96" i="1" s="1"/>
  <c r="L144" i="1" s="1"/>
  <c r="L173" i="1" s="1"/>
  <c r="AD5" i="2"/>
  <c r="AJ13" i="2"/>
  <c r="AJ7" i="2"/>
  <c r="AD11" i="2"/>
  <c r="R7" i="2"/>
  <c r="AL15" i="2"/>
  <c r="AH15" i="2"/>
  <c r="AB11" i="2"/>
  <c r="AL7" i="2"/>
  <c r="T9" i="2"/>
  <c r="X5" i="2"/>
  <c r="AJ11" i="2"/>
  <c r="AB9" i="2"/>
  <c r="V5" i="2"/>
  <c r="AL11" i="2"/>
  <c r="V11" i="2"/>
  <c r="T7" i="2"/>
  <c r="AD9" i="2"/>
  <c r="AD7" i="2"/>
  <c r="AL13" i="2"/>
  <c r="X9" i="2"/>
  <c r="AD13" i="2"/>
  <c r="Z11" i="2"/>
  <c r="V17" i="2"/>
  <c r="AD15" i="2"/>
  <c r="AJ17" i="2"/>
  <c r="R11" i="2"/>
  <c r="T17" i="2"/>
  <c r="Z5" i="2"/>
  <c r="X13" i="2"/>
  <c r="AF5" i="2"/>
  <c r="AJ5" i="2"/>
  <c r="AH13" i="2"/>
  <c r="R3" i="2"/>
  <c r="X3" i="2"/>
  <c r="T11" i="2"/>
  <c r="Z7" i="2"/>
  <c r="AD17" i="2"/>
  <c r="R15" i="2"/>
  <c r="AB3" i="2"/>
  <c r="AF13" i="2"/>
  <c r="AF9" i="2"/>
  <c r="Z15" i="2"/>
  <c r="AJ3" i="2"/>
  <c r="AJ9" i="2"/>
  <c r="T5" i="2"/>
  <c r="AH5" i="2"/>
  <c r="V13" i="2"/>
  <c r="V9" i="2"/>
  <c r="T3" i="2"/>
  <c r="AH11" i="2"/>
  <c r="R13" i="2"/>
  <c r="AF15" i="2"/>
  <c r="O1" i="2"/>
  <c r="AB7" i="2"/>
  <c r="V15" i="2"/>
  <c r="AL9" i="2"/>
  <c r="AH9" i="2"/>
  <c r="AF11" i="2"/>
  <c r="AF17" i="2"/>
  <c r="R9" i="2"/>
  <c r="AF7" i="2"/>
  <c r="R17" i="2"/>
  <c r="AB13" i="2"/>
  <c r="AH17" i="2"/>
  <c r="AL17" i="2"/>
  <c r="AH7" i="2"/>
  <c r="AB5" i="2"/>
  <c r="V3" i="2"/>
  <c r="Z3" i="2"/>
  <c r="X7" i="2"/>
  <c r="T13" i="2"/>
  <c r="V7" i="2"/>
  <c r="R5" i="2"/>
  <c r="AJ15" i="2"/>
  <c r="AL3" i="2"/>
  <c r="X11" i="2"/>
  <c r="T15" i="2"/>
  <c r="AH3" i="2"/>
  <c r="X17" i="2"/>
  <c r="Z13" i="2"/>
  <c r="AB15" i="2"/>
  <c r="Z17" i="2"/>
  <c r="AD3" i="2"/>
  <c r="AB17" i="2"/>
  <c r="AF3" i="2"/>
  <c r="AL5" i="2"/>
  <c r="Z9" i="2"/>
  <c r="X15" i="2"/>
  <c r="C75" i="4" l="1"/>
  <c r="D75" i="4" s="1"/>
  <c r="N69" i="4"/>
  <c r="N46" i="4"/>
  <c r="C73" i="4"/>
  <c r="D73" i="4" s="1"/>
  <c r="C7" i="4"/>
  <c r="G107" i="4"/>
  <c r="C72" i="4"/>
  <c r="D72" i="4" s="1"/>
  <c r="G34" i="4"/>
  <c r="L7" i="4" s="1"/>
  <c r="H7" i="4"/>
  <c r="J58" i="4"/>
  <c r="D150" i="1"/>
  <c r="D179" i="1" s="1"/>
  <c r="D145" i="1"/>
  <c r="D174" i="1" s="1"/>
  <c r="D149" i="1"/>
  <c r="D178" i="1" s="1"/>
  <c r="I83" i="1"/>
  <c r="I94" i="1" s="1"/>
  <c r="I107" i="1" s="1"/>
  <c r="K72" i="1"/>
  <c r="I68" i="1"/>
  <c r="J29" i="1"/>
  <c r="G55" i="1"/>
  <c r="E194" i="1"/>
  <c r="C85" i="1"/>
  <c r="C96" i="1" s="1"/>
  <c r="I81" i="1"/>
  <c r="I92" i="1" s="1"/>
  <c r="I105" i="1" s="1"/>
  <c r="B79" i="1"/>
  <c r="B90" i="1" s="1"/>
  <c r="B103" i="1" s="1"/>
  <c r="K72" i="4"/>
  <c r="K73" i="4"/>
  <c r="K75" i="4"/>
  <c r="F34" i="4"/>
  <c r="C71" i="4"/>
  <c r="D71" i="4" s="1"/>
  <c r="K71" i="4" s="1"/>
  <c r="F194" i="1"/>
  <c r="G194" i="1"/>
  <c r="J144" i="1"/>
  <c r="J173" i="1" s="1"/>
  <c r="J102" i="1"/>
  <c r="E147" i="1"/>
  <c r="E176" i="1" s="1"/>
  <c r="E109" i="1"/>
  <c r="E144" i="1"/>
  <c r="E173" i="1" s="1"/>
  <c r="E150" i="1"/>
  <c r="E179" i="1" s="1"/>
  <c r="C149" i="1"/>
  <c r="C178" i="1" s="1"/>
  <c r="C148" i="1"/>
  <c r="C177" i="1" s="1"/>
  <c r="C109" i="1"/>
  <c r="C145" i="1"/>
  <c r="C174" i="1" s="1"/>
  <c r="C147" i="1"/>
  <c r="C176" i="1" s="1"/>
  <c r="C46" i="4"/>
  <c r="L146" i="1"/>
  <c r="L175" i="1" s="1"/>
  <c r="L149" i="1"/>
  <c r="L178" i="1" s="1"/>
  <c r="L145" i="1"/>
  <c r="L174" i="1" s="1"/>
  <c r="K146" i="1"/>
  <c r="K175" i="1" s="1"/>
  <c r="K109" i="1"/>
  <c r="K144" i="1"/>
  <c r="K173" i="1" s="1"/>
  <c r="L109" i="1"/>
  <c r="J109" i="1"/>
  <c r="J149" i="1"/>
  <c r="J178" i="1" s="1"/>
  <c r="J145" i="1"/>
  <c r="J174" i="1" s="1"/>
  <c r="L38" i="4"/>
  <c r="F109" i="1"/>
  <c r="I145" i="1"/>
  <c r="I174" i="1" s="1"/>
  <c r="I146" i="1"/>
  <c r="I175" i="1" s="1"/>
  <c r="I109" i="1"/>
  <c r="D109" i="1"/>
  <c r="J146" i="1"/>
  <c r="J175" i="1" s="1"/>
  <c r="I144" i="1"/>
  <c r="I173" i="1" s="1"/>
  <c r="J150" i="1"/>
  <c r="J179" i="1" s="1"/>
  <c r="F148" i="1"/>
  <c r="F177" i="1" s="1"/>
  <c r="G150" i="1"/>
  <c r="G179" i="1" s="1"/>
  <c r="K145" i="1"/>
  <c r="K174" i="1" s="1"/>
  <c r="I147" i="1"/>
  <c r="I176" i="1" s="1"/>
  <c r="D70" i="1"/>
  <c r="J70" i="4"/>
  <c r="L62" i="1"/>
  <c r="E66" i="1"/>
  <c r="D71" i="1"/>
  <c r="F80" i="1"/>
  <c r="F91" i="1" s="1"/>
  <c r="G60" i="1"/>
  <c r="E56" i="1"/>
  <c r="D34" i="1"/>
  <c r="F34" i="1" s="1"/>
  <c r="H34" i="1" s="1"/>
  <c r="E61" i="1"/>
  <c r="J56" i="1"/>
  <c r="I60" i="1"/>
  <c r="H85" i="1"/>
  <c r="H96" i="1" s="1"/>
  <c r="H84" i="1"/>
  <c r="H95" i="1" s="1"/>
  <c r="H108" i="1" s="1"/>
  <c r="K83" i="1"/>
  <c r="K94" i="1" s="1"/>
  <c r="K107" i="1" s="1"/>
  <c r="F83" i="1"/>
  <c r="F94" i="1" s="1"/>
  <c r="F107" i="1" s="1"/>
  <c r="L82" i="1"/>
  <c r="L93" i="1" s="1"/>
  <c r="I78" i="1"/>
  <c r="I89" i="1" s="1"/>
  <c r="I102" i="1" s="1"/>
  <c r="I73" i="1"/>
  <c r="J71" i="1"/>
  <c r="J69" i="1"/>
  <c r="I67" i="1"/>
  <c r="E59" i="1"/>
  <c r="J58" i="1"/>
  <c r="D57" i="1"/>
  <c r="H66" i="1"/>
  <c r="K66" i="1"/>
  <c r="H71" i="1"/>
  <c r="G78" i="1"/>
  <c r="G89" i="1" s="1"/>
  <c r="G67" i="1"/>
  <c r="C60" i="1"/>
  <c r="L55" i="1"/>
  <c r="L60" i="1"/>
  <c r="F56" i="1"/>
  <c r="F61" i="1"/>
  <c r="J81" i="1"/>
  <c r="J92" i="1" s="1"/>
  <c r="J105" i="1" s="1"/>
  <c r="D80" i="1"/>
  <c r="D91" i="1" s="1"/>
  <c r="E79" i="1"/>
  <c r="E90" i="1" s="1"/>
  <c r="E103" i="1" s="1"/>
  <c r="H78" i="1"/>
  <c r="H89" i="1" s="1"/>
  <c r="H102" i="1" s="1"/>
  <c r="G73" i="1"/>
  <c r="G71" i="1"/>
  <c r="G69" i="1"/>
  <c r="F67" i="1"/>
  <c r="K56" i="1"/>
  <c r="L84" i="1"/>
  <c r="L95" i="1" s="1"/>
  <c r="L108" i="1" s="1"/>
  <c r="F84" i="1"/>
  <c r="F95" i="1" s="1"/>
  <c r="F108" i="1" s="1"/>
  <c r="E83" i="1"/>
  <c r="E94" i="1" s="1"/>
  <c r="E107" i="1" s="1"/>
  <c r="K82" i="1"/>
  <c r="K93" i="1" s="1"/>
  <c r="K106" i="1" s="1"/>
  <c r="D82" i="1"/>
  <c r="D93" i="1" s="1"/>
  <c r="D106" i="1" s="1"/>
  <c r="D81" i="1"/>
  <c r="D92" i="1" s="1"/>
  <c r="D105" i="1" s="1"/>
  <c r="B80" i="1"/>
  <c r="B91" i="1" s="1"/>
  <c r="B104" i="1" s="1"/>
  <c r="E73" i="1"/>
  <c r="F71" i="1"/>
  <c r="F69" i="1"/>
  <c r="D67" i="1"/>
  <c r="F55" i="1"/>
  <c r="F78" i="1"/>
  <c r="F89" i="1" s="1"/>
  <c r="F102" i="1" s="1"/>
  <c r="D73" i="1"/>
  <c r="E71" i="1"/>
  <c r="D69" i="1"/>
  <c r="B67" i="1"/>
  <c r="C84" i="1"/>
  <c r="C95" i="1" s="1"/>
  <c r="C108" i="1" s="1"/>
  <c r="L81" i="1"/>
  <c r="L92" i="1" s="1"/>
  <c r="L105" i="1" s="1"/>
  <c r="G80" i="1"/>
  <c r="G91" i="1" s="1"/>
  <c r="F72" i="1"/>
  <c r="E68" i="1"/>
  <c r="J61" i="1"/>
  <c r="I71" i="1"/>
  <c r="F58" i="1"/>
  <c r="C74" i="4"/>
  <c r="D74" i="4" s="1"/>
  <c r="K74" i="4" s="1"/>
  <c r="B60" i="1"/>
  <c r="F60" i="1"/>
  <c r="C70" i="1"/>
  <c r="B81" i="1"/>
  <c r="B92" i="1" s="1"/>
  <c r="B105" i="1" s="1"/>
  <c r="H61" i="1"/>
  <c r="F57" i="1"/>
  <c r="D35" i="1"/>
  <c r="F35" i="1" s="1"/>
  <c r="H35" i="1" s="1"/>
  <c r="F62" i="1"/>
  <c r="K57" i="1"/>
  <c r="K58" i="1"/>
  <c r="I84" i="1"/>
  <c r="I95" i="1" s="1"/>
  <c r="I108" i="1" s="1"/>
  <c r="B83" i="1"/>
  <c r="B94" i="1" s="1"/>
  <c r="B107" i="1" s="1"/>
  <c r="G82" i="1"/>
  <c r="G93" i="1" s="1"/>
  <c r="G106" i="1" s="1"/>
  <c r="C78" i="1"/>
  <c r="C89" i="1" s="1"/>
  <c r="C102" i="1" s="1"/>
  <c r="D72" i="1"/>
  <c r="E70" i="1"/>
  <c r="D68" i="1"/>
  <c r="C61" i="1"/>
  <c r="C71" i="1"/>
  <c r="I57" i="1"/>
  <c r="B61" i="1"/>
  <c r="G61" i="1"/>
  <c r="G70" i="1"/>
  <c r="D78" i="1"/>
  <c r="D89" i="1" s="1"/>
  <c r="D102" i="1" s="1"/>
  <c r="C80" i="1"/>
  <c r="C91" i="1" s="1"/>
  <c r="C104" i="1" s="1"/>
  <c r="D61" i="1"/>
  <c r="B57" i="1"/>
  <c r="B62" i="1"/>
  <c r="G57" i="1"/>
  <c r="D59" i="1"/>
  <c r="G83" i="1"/>
  <c r="G94" i="1" s="1"/>
  <c r="G81" i="1"/>
  <c r="G92" i="1" s="1"/>
  <c r="G105" i="1" s="1"/>
  <c r="E80" i="1"/>
  <c r="E91" i="1" s="1"/>
  <c r="E104" i="1" s="1"/>
  <c r="H79" i="1"/>
  <c r="H90" i="1" s="1"/>
  <c r="H103" i="1" s="1"/>
  <c r="K78" i="1"/>
  <c r="K89" i="1" s="1"/>
  <c r="K102" i="1" s="1"/>
  <c r="L73" i="1"/>
  <c r="B72" i="1"/>
  <c r="B70" i="1"/>
  <c r="L69" i="1"/>
  <c r="L67" i="1"/>
  <c r="E60" i="1"/>
  <c r="F70" i="1"/>
  <c r="K84" i="1"/>
  <c r="K95" i="1" s="1"/>
  <c r="K108" i="1" s="1"/>
  <c r="J82" i="1"/>
  <c r="J93" i="1" s="1"/>
  <c r="G79" i="1"/>
  <c r="G90" i="1" s="1"/>
  <c r="G103" i="1" s="1"/>
  <c r="I70" i="1"/>
  <c r="J55" i="1"/>
  <c r="G111" i="4"/>
  <c r="N242" i="4"/>
  <c r="K61" i="1"/>
  <c r="G62" i="1"/>
  <c r="K70" i="1"/>
  <c r="K60" i="1"/>
  <c r="I56" i="1"/>
  <c r="I61" i="1"/>
  <c r="C57" i="1"/>
  <c r="L59" i="1"/>
  <c r="B85" i="1"/>
  <c r="B96" i="1" s="1"/>
  <c r="B84" i="1"/>
  <c r="B95" i="1" s="1"/>
  <c r="B108" i="1" s="1"/>
  <c r="E82" i="1"/>
  <c r="E93" i="1" s="1"/>
  <c r="E106" i="1" s="1"/>
  <c r="K81" i="1"/>
  <c r="K92" i="1" s="1"/>
  <c r="K105" i="1" s="1"/>
  <c r="F81" i="1"/>
  <c r="F92" i="1" s="1"/>
  <c r="F79" i="1"/>
  <c r="F90" i="1" s="1"/>
  <c r="K73" i="1"/>
  <c r="K71" i="1"/>
  <c r="K69" i="1"/>
  <c r="K67" i="1"/>
  <c r="L43" i="4"/>
  <c r="L40" i="4"/>
  <c r="K116" i="4"/>
  <c r="K209" i="4" s="1"/>
  <c r="K108" i="4"/>
  <c r="K117" i="4"/>
  <c r="L42" i="4"/>
  <c r="K121" i="4"/>
  <c r="K110" i="4"/>
  <c r="L45" i="4"/>
  <c r="K197" i="4"/>
  <c r="X18" i="2"/>
  <c r="T10" i="2"/>
  <c r="Z4" i="2"/>
  <c r="AH10" i="2"/>
  <c r="AB12" i="2"/>
  <c r="AL12" i="2"/>
  <c r="AJ12" i="2"/>
  <c r="AF16" i="2"/>
  <c r="T6" i="2"/>
  <c r="Z6" i="2"/>
  <c r="X6" i="2"/>
  <c r="T14" i="2"/>
  <c r="X12" i="2"/>
  <c r="AB14" i="2"/>
  <c r="AJ14" i="2"/>
  <c r="AJ4" i="2"/>
  <c r="AH18" i="2"/>
  <c r="AH16" i="2"/>
  <c r="AL16" i="2"/>
  <c r="AF12" i="2"/>
  <c r="R8" i="2"/>
  <c r="AL6" i="2"/>
  <c r="AD8" i="2"/>
  <c r="V10" i="2"/>
  <c r="T4" i="2"/>
  <c r="T8" i="2"/>
  <c r="AF14" i="2"/>
  <c r="AJ8" i="2"/>
  <c r="V4" i="2"/>
  <c r="AH14" i="2"/>
  <c r="R6" i="2"/>
  <c r="AB6" i="2"/>
  <c r="Z16" i="2"/>
  <c r="T18" i="2"/>
  <c r="X14" i="2"/>
  <c r="AF18" i="2"/>
  <c r="AD16" i="2"/>
  <c r="V6" i="2"/>
  <c r="AL14" i="2"/>
  <c r="AB8" i="2"/>
  <c r="R4" i="2"/>
  <c r="AF8" i="2"/>
  <c r="AB4" i="2"/>
  <c r="AB16" i="2"/>
  <c r="AF6" i="2"/>
  <c r="Z14" i="2"/>
  <c r="R10" i="2"/>
  <c r="Z8" i="2"/>
  <c r="X4" i="2"/>
  <c r="AL18" i="2"/>
  <c r="AL4" i="2"/>
  <c r="AJ10" i="2"/>
  <c r="AD12" i="2"/>
  <c r="R14" i="2"/>
  <c r="V12" i="2"/>
  <c r="AB18" i="2"/>
  <c r="AL10" i="2"/>
  <c r="AD4" i="2"/>
  <c r="AD18" i="2"/>
  <c r="O2" i="2"/>
  <c r="AJ6" i="2"/>
  <c r="AD14" i="2"/>
  <c r="AH6" i="2"/>
  <c r="Z10" i="2"/>
  <c r="T12" i="2"/>
  <c r="V16" i="2"/>
  <c r="AH8" i="2"/>
  <c r="Z18" i="2"/>
  <c r="AJ18" i="2"/>
  <c r="T16" i="2"/>
  <c r="AH12" i="2"/>
  <c r="R12" i="2"/>
  <c r="AB10" i="2"/>
  <c r="R16" i="2"/>
  <c r="AD10" i="2"/>
  <c r="V18" i="2"/>
  <c r="X10" i="2"/>
  <c r="AH4" i="2"/>
  <c r="AF10" i="2"/>
  <c r="X8" i="2"/>
  <c r="AJ16" i="2"/>
  <c r="Z12" i="2"/>
  <c r="R18" i="2"/>
  <c r="AD6" i="2"/>
  <c r="X16" i="2"/>
  <c r="V14" i="2"/>
  <c r="AF4" i="2"/>
  <c r="AL8" i="2"/>
  <c r="V8" i="2"/>
  <c r="I149" i="1" l="1"/>
  <c r="I178" i="1" s="1"/>
  <c r="F150" i="1"/>
  <c r="F179" i="1" s="1"/>
  <c r="C150" i="1"/>
  <c r="C179" i="1" s="1"/>
  <c r="F149" i="1"/>
  <c r="F178" i="1" s="1"/>
  <c r="I134" i="4"/>
  <c r="I146" i="4" s="1"/>
  <c r="M131" i="4"/>
  <c r="M165" i="4" s="1"/>
  <c r="M176" i="4" s="1"/>
  <c r="N60" i="4" s="1"/>
  <c r="J133" i="4"/>
  <c r="J167" i="4" s="1"/>
  <c r="J178" i="4" s="1"/>
  <c r="K62" i="4" s="1"/>
  <c r="L132" i="4"/>
  <c r="L155" i="4" s="1"/>
  <c r="F132" i="4"/>
  <c r="F144" i="4" s="1"/>
  <c r="K131" i="4"/>
  <c r="K154" i="4" s="1"/>
  <c r="E136" i="4"/>
  <c r="E170" i="4" s="1"/>
  <c r="E181" i="4" s="1"/>
  <c r="F65" i="4" s="1"/>
  <c r="J131" i="4"/>
  <c r="J154" i="4" s="1"/>
  <c r="E133" i="4"/>
  <c r="E167" i="4" s="1"/>
  <c r="E178" i="4" s="1"/>
  <c r="F62" i="4" s="1"/>
  <c r="E131" i="4"/>
  <c r="E143" i="4" s="1"/>
  <c r="C136" i="4"/>
  <c r="C159" i="4" s="1"/>
  <c r="I136" i="4"/>
  <c r="I159" i="4" s="1"/>
  <c r="E137" i="4"/>
  <c r="E149" i="4" s="1"/>
  <c r="F137" i="4"/>
  <c r="F149" i="4" s="1"/>
  <c r="C137" i="4"/>
  <c r="C160" i="4" s="1"/>
  <c r="K137" i="4"/>
  <c r="K160" i="4" s="1"/>
  <c r="E134" i="4"/>
  <c r="E157" i="4" s="1"/>
  <c r="H136" i="4"/>
  <c r="H170" i="4" s="1"/>
  <c r="H181" i="4" s="1"/>
  <c r="I65" i="4" s="1"/>
  <c r="J134" i="4"/>
  <c r="J146" i="4" s="1"/>
  <c r="M133" i="4"/>
  <c r="M156" i="4" s="1"/>
  <c r="I137" i="4"/>
  <c r="I149" i="4" s="1"/>
  <c r="D133" i="4"/>
  <c r="D145" i="4" s="1"/>
  <c r="K135" i="4"/>
  <c r="K158" i="4" s="1"/>
  <c r="E132" i="4"/>
  <c r="E166" i="4" s="1"/>
  <c r="E177" i="4" s="1"/>
  <c r="F61" i="4" s="1"/>
  <c r="F135" i="4"/>
  <c r="F169" i="4" s="1"/>
  <c r="F180" i="4" s="1"/>
  <c r="G64" i="4" s="1"/>
  <c r="H133" i="4"/>
  <c r="H145" i="4" s="1"/>
  <c r="L131" i="4"/>
  <c r="L143" i="4" s="1"/>
  <c r="I133" i="4"/>
  <c r="I167" i="4" s="1"/>
  <c r="I178" i="4" s="1"/>
  <c r="J62" i="4" s="1"/>
  <c r="F138" i="4"/>
  <c r="F161" i="4" s="1"/>
  <c r="M138" i="4"/>
  <c r="M161" i="4" s="1"/>
  <c r="M134" i="4"/>
  <c r="M157" i="4" s="1"/>
  <c r="M136" i="4"/>
  <c r="M170" i="4" s="1"/>
  <c r="M181" i="4" s="1"/>
  <c r="N65" i="4" s="1"/>
  <c r="G136" i="4"/>
  <c r="G148" i="4" s="1"/>
  <c r="G131" i="4"/>
  <c r="G143" i="4" s="1"/>
  <c r="L134" i="4"/>
  <c r="L146" i="4" s="1"/>
  <c r="G135" i="4"/>
  <c r="G158" i="4" s="1"/>
  <c r="D131" i="4"/>
  <c r="D154" i="4" s="1"/>
  <c r="F131" i="4"/>
  <c r="F143" i="4" s="1"/>
  <c r="J138" i="4"/>
  <c r="J150" i="4" s="1"/>
  <c r="C135" i="4"/>
  <c r="C147" i="4" s="1"/>
  <c r="H137" i="4"/>
  <c r="H160" i="4" s="1"/>
  <c r="G134" i="4"/>
  <c r="G157" i="4" s="1"/>
  <c r="D132" i="4"/>
  <c r="D155" i="4" s="1"/>
  <c r="G132" i="4"/>
  <c r="G166" i="4" s="1"/>
  <c r="G177" i="4" s="1"/>
  <c r="H61" i="4" s="1"/>
  <c r="C133" i="4"/>
  <c r="C156" i="4" s="1"/>
  <c r="K138" i="4"/>
  <c r="K161" i="4" s="1"/>
  <c r="K132" i="4"/>
  <c r="K144" i="4" s="1"/>
  <c r="H131" i="4"/>
  <c r="H143" i="4" s="1"/>
  <c r="H134" i="4"/>
  <c r="H168" i="4" s="1"/>
  <c r="H179" i="4" s="1"/>
  <c r="I63" i="4" s="1"/>
  <c r="C132" i="4"/>
  <c r="C155" i="4" s="1"/>
  <c r="L29" i="4"/>
  <c r="E116" i="4" s="1"/>
  <c r="I131" i="4"/>
  <c r="I154" i="4" s="1"/>
  <c r="D134" i="4"/>
  <c r="D157" i="4" s="1"/>
  <c r="D138" i="4"/>
  <c r="D150" i="4" s="1"/>
  <c r="L137" i="4"/>
  <c r="L149" i="4" s="1"/>
  <c r="G133" i="4"/>
  <c r="G167" i="4" s="1"/>
  <c r="G178" i="4" s="1"/>
  <c r="H62" i="4" s="1"/>
  <c r="J132" i="4"/>
  <c r="J166" i="4" s="1"/>
  <c r="J177" i="4" s="1"/>
  <c r="K61" i="4" s="1"/>
  <c r="M135" i="4"/>
  <c r="M158" i="4" s="1"/>
  <c r="D137" i="4"/>
  <c r="D160" i="4" s="1"/>
  <c r="M132" i="4"/>
  <c r="M166" i="4" s="1"/>
  <c r="M177" i="4" s="1"/>
  <c r="N61" i="4" s="1"/>
  <c r="K136" i="4"/>
  <c r="K148" i="4" s="1"/>
  <c r="E135" i="4"/>
  <c r="E158" i="4" s="1"/>
  <c r="L136" i="4"/>
  <c r="L148" i="4" s="1"/>
  <c r="L135" i="4"/>
  <c r="L147" i="4" s="1"/>
  <c r="H132" i="4"/>
  <c r="H166" i="4" s="1"/>
  <c r="H177" i="4" s="1"/>
  <c r="I61" i="4" s="1"/>
  <c r="H138" i="4"/>
  <c r="H172" i="4" s="1"/>
  <c r="H183" i="4" s="1"/>
  <c r="F134" i="4"/>
  <c r="F168" i="4" s="1"/>
  <c r="F179" i="4" s="1"/>
  <c r="G63" i="4" s="1"/>
  <c r="I138" i="4"/>
  <c r="I172" i="4" s="1"/>
  <c r="I183" i="4" s="1"/>
  <c r="F133" i="4"/>
  <c r="F167" i="4" s="1"/>
  <c r="F178" i="4" s="1"/>
  <c r="G62" i="4" s="1"/>
  <c r="C131" i="4"/>
  <c r="C143" i="4" s="1"/>
  <c r="E138" i="4"/>
  <c r="E172" i="4" s="1"/>
  <c r="E183" i="4" s="1"/>
  <c r="L138" i="4"/>
  <c r="L172" i="4" s="1"/>
  <c r="L183" i="4" s="1"/>
  <c r="I132" i="4"/>
  <c r="I144" i="4" s="1"/>
  <c r="J135" i="4"/>
  <c r="J158" i="4" s="1"/>
  <c r="J137" i="4"/>
  <c r="J171" i="4" s="1"/>
  <c r="J182" i="4" s="1"/>
  <c r="K66" i="4" s="1"/>
  <c r="G138" i="4"/>
  <c r="G172" i="4" s="1"/>
  <c r="G183" i="4" s="1"/>
  <c r="L133" i="4"/>
  <c r="L156" i="4" s="1"/>
  <c r="D136" i="4"/>
  <c r="D170" i="4" s="1"/>
  <c r="D181" i="4" s="1"/>
  <c r="E65" i="4" s="1"/>
  <c r="C134" i="4"/>
  <c r="C146" i="4" s="1"/>
  <c r="F136" i="4"/>
  <c r="F159" i="4" s="1"/>
  <c r="I135" i="4"/>
  <c r="I147" i="4" s="1"/>
  <c r="M137" i="4"/>
  <c r="M160" i="4" s="1"/>
  <c r="C138" i="4"/>
  <c r="C161" i="4" s="1"/>
  <c r="K134" i="4"/>
  <c r="K168" i="4" s="1"/>
  <c r="K179" i="4" s="1"/>
  <c r="L63" i="4" s="1"/>
  <c r="J136" i="4"/>
  <c r="J148" i="4" s="1"/>
  <c r="H135" i="4"/>
  <c r="H147" i="4" s="1"/>
  <c r="K133" i="4"/>
  <c r="K156" i="4" s="1"/>
  <c r="D135" i="4"/>
  <c r="D158" i="4" s="1"/>
  <c r="G137" i="4"/>
  <c r="G149" i="4" s="1"/>
  <c r="G146" i="1"/>
  <c r="G175" i="1" s="1"/>
  <c r="G104" i="1"/>
  <c r="K148" i="1"/>
  <c r="K177" i="1" s="1"/>
  <c r="K147" i="1"/>
  <c r="K176" i="1" s="1"/>
  <c r="C146" i="1"/>
  <c r="C175" i="1" s="1"/>
  <c r="E145" i="1"/>
  <c r="E174" i="1" s="1"/>
  <c r="D144" i="1"/>
  <c r="D173" i="1" s="1"/>
  <c r="F144" i="1"/>
  <c r="F173" i="1" s="1"/>
  <c r="C144" i="1"/>
  <c r="C173" i="1" s="1"/>
  <c r="D104" i="1"/>
  <c r="D146" i="1"/>
  <c r="D175" i="1" s="1"/>
  <c r="H144" i="1"/>
  <c r="H173" i="1" s="1"/>
  <c r="H109" i="1"/>
  <c r="H150" i="1"/>
  <c r="H179" i="1" s="1"/>
  <c r="H147" i="1"/>
  <c r="H176" i="1" s="1"/>
  <c r="H149" i="1"/>
  <c r="H178" i="1" s="1"/>
  <c r="H148" i="1"/>
  <c r="H177" i="1" s="1"/>
  <c r="H145" i="1"/>
  <c r="H174" i="1" s="1"/>
  <c r="H146" i="1"/>
  <c r="H175" i="1" s="1"/>
  <c r="L106" i="1"/>
  <c r="L148" i="1"/>
  <c r="L177" i="1" s="1"/>
  <c r="F103" i="1"/>
  <c r="F145" i="1"/>
  <c r="F174" i="1" s="1"/>
  <c r="F105" i="1"/>
  <c r="F147" i="1"/>
  <c r="F176" i="1" s="1"/>
  <c r="K149" i="1"/>
  <c r="K178" i="1" s="1"/>
  <c r="D147" i="1"/>
  <c r="D176" i="1" s="1"/>
  <c r="L150" i="1"/>
  <c r="L179" i="1" s="1"/>
  <c r="D148" i="1"/>
  <c r="D177" i="1" s="1"/>
  <c r="L147" i="1"/>
  <c r="L176" i="1" s="1"/>
  <c r="K150" i="1"/>
  <c r="K179" i="1" s="1"/>
  <c r="J147" i="1"/>
  <c r="J176" i="1" s="1"/>
  <c r="E146" i="1"/>
  <c r="E175" i="1" s="1"/>
  <c r="G102" i="1"/>
  <c r="G144" i="1"/>
  <c r="G173" i="1" s="1"/>
  <c r="E149" i="1"/>
  <c r="E178" i="1" s="1"/>
  <c r="B149" i="1"/>
  <c r="B178" i="1" s="1"/>
  <c r="B147" i="1"/>
  <c r="B176" i="1" s="1"/>
  <c r="B145" i="1"/>
  <c r="B174" i="1" s="1"/>
  <c r="B144" i="1"/>
  <c r="B173" i="1" s="1"/>
  <c r="B109" i="1"/>
  <c r="B148" i="1"/>
  <c r="B177" i="1" s="1"/>
  <c r="B150" i="1"/>
  <c r="B179" i="1" s="1"/>
  <c r="B146" i="1"/>
  <c r="B175" i="1" s="1"/>
  <c r="G148" i="1"/>
  <c r="G177" i="1" s="1"/>
  <c r="G145" i="1"/>
  <c r="G174" i="1" s="1"/>
  <c r="E148" i="1"/>
  <c r="E177" i="1" s="1"/>
  <c r="G107" i="1"/>
  <c r="G149" i="1"/>
  <c r="G178" i="1" s="1"/>
  <c r="J106" i="1"/>
  <c r="J148" i="1"/>
  <c r="J177" i="1" s="1"/>
  <c r="F104" i="1"/>
  <c r="F146" i="1"/>
  <c r="F175" i="1" s="1"/>
  <c r="I150" i="1"/>
  <c r="I179" i="1" s="1"/>
  <c r="G147" i="1"/>
  <c r="G176" i="1" s="1"/>
  <c r="M148" i="4"/>
  <c r="C168" i="4"/>
  <c r="C179" i="4" s="1"/>
  <c r="D63" i="4" s="1"/>
  <c r="M168" i="4"/>
  <c r="M179" i="4" s="1"/>
  <c r="N63" i="4" s="1"/>
  <c r="M146" i="4"/>
  <c r="M172" i="4"/>
  <c r="M183" i="4" s="1"/>
  <c r="M150" i="4"/>
  <c r="E160" i="4" l="1"/>
  <c r="E171" i="4"/>
  <c r="E182" i="4" s="1"/>
  <c r="F66" i="4" s="1"/>
  <c r="K159" i="4"/>
  <c r="D148" i="4"/>
  <c r="D159" i="4"/>
  <c r="M145" i="4"/>
  <c r="G145" i="4"/>
  <c r="H148" i="4"/>
  <c r="E156" i="4"/>
  <c r="J157" i="4"/>
  <c r="J168" i="4"/>
  <c r="J179" i="4" s="1"/>
  <c r="K63" i="4" s="1"/>
  <c r="G168" i="4"/>
  <c r="G179" i="4" s="1"/>
  <c r="H63" i="4" s="1"/>
  <c r="G144" i="4"/>
  <c r="H159" i="4"/>
  <c r="K143" i="4"/>
  <c r="K165" i="4"/>
  <c r="K176" i="4" s="1"/>
  <c r="L60" i="4" s="1"/>
  <c r="D172" i="4"/>
  <c r="D183" i="4" s="1"/>
  <c r="E67" i="4" s="1"/>
  <c r="D161" i="4"/>
  <c r="F146" i="4"/>
  <c r="H146" i="4"/>
  <c r="D143" i="4"/>
  <c r="I168" i="4"/>
  <c r="I179" i="4" s="1"/>
  <c r="J63" i="4" s="1"/>
  <c r="L171" i="4"/>
  <c r="L182" i="4" s="1"/>
  <c r="M66" i="4" s="1"/>
  <c r="G146" i="4"/>
  <c r="H150" i="4"/>
  <c r="H161" i="4"/>
  <c r="M154" i="4"/>
  <c r="H156" i="4"/>
  <c r="E148" i="4"/>
  <c r="C157" i="4"/>
  <c r="E159" i="4"/>
  <c r="I157" i="4"/>
  <c r="K145" i="4"/>
  <c r="K167" i="4"/>
  <c r="K178" i="4" s="1"/>
  <c r="L62" i="4" s="1"/>
  <c r="F154" i="4"/>
  <c r="F148" i="4"/>
  <c r="G156" i="4"/>
  <c r="E150" i="4"/>
  <c r="F147" i="4"/>
  <c r="D166" i="4"/>
  <c r="D177" i="4" s="1"/>
  <c r="E61" i="4" s="1"/>
  <c r="H167" i="4"/>
  <c r="H178" i="4" s="1"/>
  <c r="I62" i="4" s="1"/>
  <c r="J156" i="4"/>
  <c r="F165" i="4"/>
  <c r="F176" i="4" s="1"/>
  <c r="G60" i="4" s="1"/>
  <c r="F171" i="4"/>
  <c r="F182" i="4" s="1"/>
  <c r="G66" i="4" s="1"/>
  <c r="D144" i="4"/>
  <c r="J159" i="4"/>
  <c r="E161" i="4"/>
  <c r="J143" i="4"/>
  <c r="C166" i="4"/>
  <c r="C177" i="4" s="1"/>
  <c r="D61" i="4" s="1"/>
  <c r="L158" i="4"/>
  <c r="M143" i="4"/>
  <c r="C169" i="4"/>
  <c r="C180" i="4" s="1"/>
  <c r="D64" i="4" s="1"/>
  <c r="F160" i="4"/>
  <c r="G155" i="4"/>
  <c r="L160" i="4"/>
  <c r="C144" i="4"/>
  <c r="L144" i="4"/>
  <c r="L168" i="4"/>
  <c r="L179" i="4" s="1"/>
  <c r="M63" i="4" s="1"/>
  <c r="L166" i="4"/>
  <c r="L177" i="4" s="1"/>
  <c r="M61" i="4" s="1"/>
  <c r="J165" i="4"/>
  <c r="J176" i="4" s="1"/>
  <c r="K60" i="4" s="1"/>
  <c r="J160" i="4"/>
  <c r="L157" i="4"/>
  <c r="L39" i="4"/>
  <c r="H169" i="4"/>
  <c r="H180" i="4" s="1"/>
  <c r="I64" i="4" s="1"/>
  <c r="J170" i="4"/>
  <c r="J181" i="4" s="1"/>
  <c r="K65" i="4" s="1"/>
  <c r="M167" i="4"/>
  <c r="M178" i="4" s="1"/>
  <c r="N62" i="4" s="1"/>
  <c r="J149" i="4"/>
  <c r="J41" i="4"/>
  <c r="H158" i="4"/>
  <c r="M159" i="4"/>
  <c r="G161" i="4"/>
  <c r="H171" i="4"/>
  <c r="H182" i="4" s="1"/>
  <c r="I66" i="4" s="1"/>
  <c r="H144" i="4"/>
  <c r="C170" i="4"/>
  <c r="C181" i="4" s="1"/>
  <c r="D65" i="4" s="1"/>
  <c r="C171" i="4"/>
  <c r="C182" i="4" s="1"/>
  <c r="D66" i="4" s="1"/>
  <c r="I143" i="4"/>
  <c r="D147" i="4"/>
  <c r="C149" i="4"/>
  <c r="E168" i="4"/>
  <c r="E179" i="4" s="1"/>
  <c r="F63" i="4" s="1"/>
  <c r="L167" i="4"/>
  <c r="L178" i="4" s="1"/>
  <c r="M62" i="4" s="1"/>
  <c r="L165" i="4"/>
  <c r="L176" i="4" s="1"/>
  <c r="M60" i="4" s="1"/>
  <c r="K157" i="4"/>
  <c r="K149" i="4"/>
  <c r="J161" i="4"/>
  <c r="F157" i="4"/>
  <c r="F166" i="4"/>
  <c r="F177" i="4" s="1"/>
  <c r="G61" i="4" s="1"/>
  <c r="J39" i="4"/>
  <c r="F155" i="4"/>
  <c r="E71" i="4"/>
  <c r="G71" i="4" s="1"/>
  <c r="I71" i="4" s="1"/>
  <c r="L169" i="4"/>
  <c r="L180" i="4" s="1"/>
  <c r="M64" i="4" s="1"/>
  <c r="H155" i="4"/>
  <c r="E147" i="4"/>
  <c r="E72" i="4"/>
  <c r="G72" i="4" s="1"/>
  <c r="I72" i="4" s="1"/>
  <c r="E169" i="4"/>
  <c r="E180" i="4" s="1"/>
  <c r="F64" i="4" s="1"/>
  <c r="I165" i="4"/>
  <c r="I176" i="4" s="1"/>
  <c r="J60" i="4" s="1"/>
  <c r="J40" i="4"/>
  <c r="L154" i="4"/>
  <c r="I150" i="4"/>
  <c r="D146" i="4"/>
  <c r="C158" i="4"/>
  <c r="F170" i="4"/>
  <c r="F181" i="4" s="1"/>
  <c r="G65" i="4" s="1"/>
  <c r="L145" i="4"/>
  <c r="C148" i="4"/>
  <c r="K114" i="4"/>
  <c r="L41" i="4" s="1"/>
  <c r="L44" i="4" s="1"/>
  <c r="L46" i="4" s="1"/>
  <c r="D165" i="4"/>
  <c r="D176" i="4" s="1"/>
  <c r="E60" i="4" s="1"/>
  <c r="H149" i="4"/>
  <c r="J145" i="4"/>
  <c r="E74" i="4"/>
  <c r="G74" i="4" s="1"/>
  <c r="I74" i="4" s="1"/>
  <c r="H157" i="4"/>
  <c r="I166" i="4"/>
  <c r="I177" i="4" s="1"/>
  <c r="J61" i="4" s="1"/>
  <c r="K170" i="4"/>
  <c r="K181" i="4" s="1"/>
  <c r="L65" i="4" s="1"/>
  <c r="D168" i="4"/>
  <c r="D179" i="4" s="1"/>
  <c r="E63" i="4" s="1"/>
  <c r="G150" i="4"/>
  <c r="I156" i="4"/>
  <c r="L170" i="4"/>
  <c r="L181" i="4" s="1"/>
  <c r="M65" i="4" s="1"/>
  <c r="J155" i="4"/>
  <c r="J44" i="4"/>
  <c r="D169" i="4"/>
  <c r="D180" i="4" s="1"/>
  <c r="E64" i="4" s="1"/>
  <c r="J172" i="4"/>
  <c r="J183" i="4" s="1"/>
  <c r="K101" i="4" s="1"/>
  <c r="I145" i="4"/>
  <c r="I161" i="4"/>
  <c r="L159" i="4"/>
  <c r="K169" i="4"/>
  <c r="K180" i="4" s="1"/>
  <c r="L64" i="4" s="1"/>
  <c r="J144" i="4"/>
  <c r="J42" i="4"/>
  <c r="C145" i="4"/>
  <c r="K147" i="4"/>
  <c r="F172" i="4"/>
  <c r="F183" i="4" s="1"/>
  <c r="G102" i="4" s="1"/>
  <c r="I160" i="4"/>
  <c r="J43" i="4"/>
  <c r="E146" i="4"/>
  <c r="J45" i="4"/>
  <c r="G171" i="4"/>
  <c r="G182" i="4" s="1"/>
  <c r="H66" i="4" s="1"/>
  <c r="J169" i="4"/>
  <c r="J180" i="4" s="1"/>
  <c r="K64" i="4" s="1"/>
  <c r="K171" i="4"/>
  <c r="K182" i="4" s="1"/>
  <c r="L66" i="4" s="1"/>
  <c r="F150" i="4"/>
  <c r="I171" i="4"/>
  <c r="I182" i="4" s="1"/>
  <c r="J66" i="4" s="1"/>
  <c r="E75" i="4"/>
  <c r="G75" i="4" s="1"/>
  <c r="I75" i="4" s="1"/>
  <c r="E73" i="4"/>
  <c r="G73" i="4" s="1"/>
  <c r="I73" i="4" s="1"/>
  <c r="G160" i="4"/>
  <c r="J147" i="4"/>
  <c r="I155" i="4"/>
  <c r="F158" i="4"/>
  <c r="E79" i="4"/>
  <c r="G79" i="4" s="1"/>
  <c r="J38" i="4"/>
  <c r="E145" i="4"/>
  <c r="C167" i="4"/>
  <c r="C178" i="4" s="1"/>
  <c r="D62" i="4" s="1"/>
  <c r="I148" i="4"/>
  <c r="F156" i="4"/>
  <c r="D156" i="4"/>
  <c r="I170" i="4"/>
  <c r="I181" i="4" s="1"/>
  <c r="J65" i="4" s="1"/>
  <c r="F145" i="4"/>
  <c r="E144" i="4"/>
  <c r="E165" i="4"/>
  <c r="E176" i="4" s="1"/>
  <c r="F60" i="4" s="1"/>
  <c r="E155" i="4"/>
  <c r="D167" i="4"/>
  <c r="D178" i="4" s="1"/>
  <c r="E62" i="4" s="1"/>
  <c r="I169" i="4"/>
  <c r="I180" i="4" s="1"/>
  <c r="J64" i="4" s="1"/>
  <c r="C172" i="4"/>
  <c r="C183" i="4" s="1"/>
  <c r="D102" i="4" s="1"/>
  <c r="G170" i="4"/>
  <c r="G181" i="4" s="1"/>
  <c r="H65" i="4" s="1"/>
  <c r="I158" i="4"/>
  <c r="C150" i="4"/>
  <c r="H154" i="4"/>
  <c r="G159" i="4"/>
  <c r="H165" i="4"/>
  <c r="H176" i="4" s="1"/>
  <c r="I60" i="4" s="1"/>
  <c r="E154" i="4"/>
  <c r="D171" i="4"/>
  <c r="D182" i="4" s="1"/>
  <c r="E66" i="4" s="1"/>
  <c r="D149" i="4"/>
  <c r="K146" i="4"/>
  <c r="L150" i="4"/>
  <c r="M169" i="4"/>
  <c r="M180" i="4" s="1"/>
  <c r="N64" i="4" s="1"/>
  <c r="M144" i="4"/>
  <c r="M171" i="4"/>
  <c r="M182" i="4" s="1"/>
  <c r="N66" i="4" s="1"/>
  <c r="L161" i="4"/>
  <c r="M147" i="4"/>
  <c r="M155" i="4"/>
  <c r="M149" i="4"/>
  <c r="C165" i="4"/>
  <c r="C176" i="4" s="1"/>
  <c r="D60" i="4" s="1"/>
  <c r="G154" i="4"/>
  <c r="C154" i="4"/>
  <c r="G165" i="4"/>
  <c r="G176" i="4" s="1"/>
  <c r="H60" i="4" s="1"/>
  <c r="K172" i="4"/>
  <c r="K183" i="4" s="1"/>
  <c r="K150" i="4"/>
  <c r="G147" i="4"/>
  <c r="K166" i="4"/>
  <c r="K177" i="4" s="1"/>
  <c r="L61" i="4" s="1"/>
  <c r="G169" i="4"/>
  <c r="G180" i="4" s="1"/>
  <c r="H64" i="4" s="1"/>
  <c r="K155" i="4"/>
  <c r="H101" i="4"/>
  <c r="H100" i="4"/>
  <c r="H67" i="4"/>
  <c r="H102" i="4"/>
  <c r="N100" i="4"/>
  <c r="N67" i="4"/>
  <c r="N102" i="4"/>
  <c r="I67" i="4"/>
  <c r="I100" i="4"/>
  <c r="I102" i="4"/>
  <c r="J101" i="4"/>
  <c r="J67" i="4"/>
  <c r="M67" i="4"/>
  <c r="F100" i="4"/>
  <c r="F101" i="4"/>
  <c r="F67" i="4"/>
  <c r="J102" i="4" l="1"/>
  <c r="I101" i="4"/>
  <c r="E100" i="4"/>
  <c r="F102" i="4"/>
  <c r="K115" i="4"/>
  <c r="K118" i="4" s="1"/>
  <c r="M101" i="4"/>
  <c r="M102" i="4"/>
  <c r="M100" i="4"/>
  <c r="K67" i="4"/>
  <c r="E102" i="4"/>
  <c r="L100" i="4"/>
  <c r="I79" i="4"/>
  <c r="B79" i="4" s="1"/>
  <c r="N101" i="4"/>
  <c r="J100" i="4"/>
  <c r="G100" i="4"/>
  <c r="D67" i="4"/>
  <c r="D101" i="4"/>
  <c r="D100" i="4"/>
  <c r="K100" i="4"/>
  <c r="K102" i="4"/>
  <c r="J46" i="4"/>
  <c r="G67" i="4"/>
  <c r="G101" i="4"/>
  <c r="L101" i="4"/>
  <c r="L67" i="4"/>
  <c r="E101" i="4"/>
  <c r="L102" i="4"/>
  <c r="K109" i="4" l="1"/>
  <c r="K122" i="4"/>
  <c r="H206" i="4"/>
  <c r="K119" i="4"/>
  <c r="K120" i="4" s="1"/>
  <c r="K111" i="4" l="1"/>
</calcChain>
</file>

<file path=xl/sharedStrings.xml><?xml version="1.0" encoding="utf-8"?>
<sst xmlns="http://schemas.openxmlformats.org/spreadsheetml/2006/main" count="1050" uniqueCount="520">
  <si>
    <t>l/sec</t>
  </si>
  <si>
    <t>Vyplňte tabuľku intenzít zrážok pre rôzne doby trvania dažďa ( l / s. ha ) pre danú lokalitu</t>
  </si>
  <si>
    <t>Výpočet pre akciu:</t>
  </si>
  <si>
    <t xml:space="preserve">Vypracované pre:  </t>
  </si>
  <si>
    <t>intenzita dažďa pre pravdepodobnosť n pre danú lokalitu</t>
  </si>
  <si>
    <t>(l /sec.ha)</t>
  </si>
  <si>
    <t>koeficient vsakovania pôdy</t>
  </si>
  <si>
    <t>( m/s)</t>
  </si>
  <si>
    <t>dĺžka dažďa s max. zrážkovým úhrnom</t>
  </si>
  <si>
    <t>D</t>
  </si>
  <si>
    <t>( min )</t>
  </si>
  <si>
    <t>( - )</t>
  </si>
  <si>
    <t>(m)</t>
  </si>
  <si>
    <t>Čiastkové strechy</t>
  </si>
  <si>
    <t>Plocha strechy:</t>
  </si>
  <si>
    <t>Odtok.súčiniteľ</t>
  </si>
  <si>
    <t>Prietok v l/sec</t>
  </si>
  <si>
    <r>
      <t>A</t>
    </r>
    <r>
      <rPr>
        <vertAlign val="subscript"/>
        <sz val="10"/>
        <rFont val="Arial CE"/>
        <family val="2"/>
        <charset val="238"/>
      </rPr>
      <t>1</t>
    </r>
    <r>
      <rPr>
        <sz val="10"/>
        <rFont val="Arial CE"/>
        <charset val="238"/>
      </rPr>
      <t>=</t>
    </r>
  </si>
  <si>
    <r>
      <t xml:space="preserve"> ( 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>)</t>
    </r>
  </si>
  <si>
    <r>
      <t>Ψ</t>
    </r>
    <r>
      <rPr>
        <vertAlign val="subscript"/>
        <sz val="10"/>
        <rFont val="Arial CE"/>
        <family val="2"/>
        <charset val="238"/>
      </rPr>
      <t>1</t>
    </r>
  </si>
  <si>
    <r>
      <t>A</t>
    </r>
    <r>
      <rPr>
        <vertAlign val="sub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>=</t>
    </r>
  </si>
  <si>
    <r>
      <t>Ψ</t>
    </r>
    <r>
      <rPr>
        <vertAlign val="sub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/>
    </r>
  </si>
  <si>
    <r>
      <t>A</t>
    </r>
    <r>
      <rPr>
        <vertAlign val="sub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>=</t>
    </r>
  </si>
  <si>
    <r>
      <t>Ψ</t>
    </r>
    <r>
      <rPr>
        <vertAlign val="sub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/>
    </r>
  </si>
  <si>
    <r>
      <t>A</t>
    </r>
    <r>
      <rPr>
        <vertAlign val="subscript"/>
        <sz val="10"/>
        <rFont val="Arial CE"/>
        <family val="2"/>
        <charset val="238"/>
      </rPr>
      <t>4</t>
    </r>
    <r>
      <rPr>
        <sz val="10"/>
        <rFont val="Arial CE"/>
        <charset val="238"/>
      </rPr>
      <t>=</t>
    </r>
  </si>
  <si>
    <r>
      <t>Ψ</t>
    </r>
    <r>
      <rPr>
        <vertAlign val="subscript"/>
        <sz val="10"/>
        <rFont val="Arial CE"/>
        <family val="2"/>
        <charset val="238"/>
      </rPr>
      <t>4</t>
    </r>
    <r>
      <rPr>
        <sz val="10"/>
        <rFont val="Arial CE"/>
        <charset val="238"/>
      </rPr>
      <t/>
    </r>
  </si>
  <si>
    <r>
      <t>A</t>
    </r>
    <r>
      <rPr>
        <vertAlign val="subscript"/>
        <sz val="10"/>
        <rFont val="Arial CE"/>
        <family val="2"/>
        <charset val="238"/>
      </rPr>
      <t>5</t>
    </r>
    <r>
      <rPr>
        <sz val="10"/>
        <rFont val="Arial CE"/>
        <charset val="238"/>
      </rPr>
      <t>=</t>
    </r>
  </si>
  <si>
    <r>
      <t>Ψ</t>
    </r>
    <r>
      <rPr>
        <vertAlign val="subscript"/>
        <sz val="10"/>
        <rFont val="Arial CE"/>
        <family val="2"/>
        <charset val="238"/>
      </rPr>
      <t>5</t>
    </r>
    <r>
      <rPr>
        <sz val="10"/>
        <rFont val="Arial CE"/>
        <charset val="238"/>
      </rPr>
      <t/>
    </r>
  </si>
  <si>
    <r>
      <t>A</t>
    </r>
    <r>
      <rPr>
        <vertAlign val="subscript"/>
        <sz val="10"/>
        <rFont val="Arial CE"/>
        <family val="2"/>
        <charset val="238"/>
      </rPr>
      <t>6</t>
    </r>
    <r>
      <rPr>
        <sz val="10"/>
        <rFont val="Arial CE"/>
        <charset val="238"/>
      </rPr>
      <t>=</t>
    </r>
  </si>
  <si>
    <r>
      <t>Ψ</t>
    </r>
    <r>
      <rPr>
        <vertAlign val="subscript"/>
        <sz val="10"/>
        <rFont val="Arial CE"/>
        <family val="2"/>
        <charset val="238"/>
      </rPr>
      <t>6</t>
    </r>
    <r>
      <rPr>
        <sz val="10"/>
        <rFont val="Arial CE"/>
        <charset val="238"/>
      </rPr>
      <t/>
    </r>
  </si>
  <si>
    <r>
      <t>A</t>
    </r>
    <r>
      <rPr>
        <vertAlign val="subscript"/>
        <sz val="10"/>
        <rFont val="Arial CE"/>
        <family val="2"/>
        <charset val="238"/>
      </rPr>
      <t>7</t>
    </r>
    <r>
      <rPr>
        <sz val="10"/>
        <rFont val="Arial CE"/>
        <charset val="238"/>
      </rPr>
      <t>=</t>
    </r>
  </si>
  <si>
    <r>
      <t>Ψ</t>
    </r>
    <r>
      <rPr>
        <vertAlign val="subscript"/>
        <sz val="10"/>
        <rFont val="Arial CE"/>
        <family val="2"/>
        <charset val="238"/>
      </rPr>
      <t>7</t>
    </r>
    <r>
      <rPr>
        <sz val="10"/>
        <rFont val="Arial CE"/>
        <charset val="238"/>
      </rPr>
      <t/>
    </r>
  </si>
  <si>
    <t>Prietok spolu</t>
  </si>
  <si>
    <t xml:space="preserve">          Objem:</t>
  </si>
  <si>
    <t>Počet ELWAblokov:</t>
  </si>
  <si>
    <t>Čas vsiaknutia</t>
  </si>
  <si>
    <t>( m )</t>
  </si>
  <si>
    <t>( m3)</t>
  </si>
  <si>
    <t xml:space="preserve"> ks</t>
  </si>
  <si>
    <t>hod</t>
  </si>
  <si>
    <t>rD(n)</t>
  </si>
  <si>
    <t xml:space="preserve">redukovaná plocha Ae = </t>
  </si>
  <si>
    <t>Objem dažďovej vody (v m3) pritečenej počas trvania dažďa  do vsakovacieho zariadenia</t>
  </si>
  <si>
    <r>
      <t xml:space="preserve">šírka vsakovacieho priestoru </t>
    </r>
    <r>
      <rPr>
        <sz val="8"/>
        <rFont val="Arial CE"/>
        <family val="2"/>
        <charset val="238"/>
      </rPr>
      <t>(iba násobky 0,5 m - napríklad 3,5 m )</t>
    </r>
  </si>
  <si>
    <t>( Šírka ovplyvní počet blokov )</t>
  </si>
  <si>
    <t>0,4 m</t>
  </si>
  <si>
    <t>0,8 m</t>
  </si>
  <si>
    <t>1,2 m</t>
  </si>
  <si>
    <t>1,4 m</t>
  </si>
  <si>
    <t>2,0 m</t>
  </si>
  <si>
    <t>počet vrstiev Elwablokov (od 1 po 5)</t>
  </si>
  <si>
    <r>
      <t xml:space="preserve">počet vrstiev </t>
    </r>
    <r>
      <rPr>
        <b/>
        <sz val="10"/>
        <rFont val="Arial CE"/>
        <family val="2"/>
        <charset val="238"/>
      </rPr>
      <t>n</t>
    </r>
    <r>
      <rPr>
        <b/>
        <vertAlign val="subscript"/>
        <sz val="10"/>
        <rFont val="Arial CE"/>
        <family val="2"/>
        <charset val="238"/>
      </rPr>
      <t>v</t>
    </r>
    <r>
      <rPr>
        <vertAlign val="superscript"/>
        <sz val="10"/>
        <rFont val="Arial CE"/>
        <family val="2"/>
        <charset val="238"/>
      </rPr>
      <t>:</t>
    </r>
  </si>
  <si>
    <t>Periodicita</t>
  </si>
  <si>
    <t>označenie dažďa</t>
  </si>
  <si>
    <t xml:space="preserve">  ročný dážď</t>
  </si>
  <si>
    <t xml:space="preserve">  dvojročný</t>
  </si>
  <si>
    <t xml:space="preserve">  päťročný</t>
  </si>
  <si>
    <t xml:space="preserve">  desaťročný</t>
  </si>
  <si>
    <t xml:space="preserve">  dvadsaťročný</t>
  </si>
  <si>
    <t xml:space="preserve">  tridsaťročný</t>
  </si>
  <si>
    <t xml:space="preserve">  päťdesiatročný</t>
  </si>
  <si>
    <t xml:space="preserve">  storočný</t>
  </si>
  <si>
    <t>Výška V</t>
  </si>
  <si>
    <t>Dĺžka L :</t>
  </si>
  <si>
    <r>
      <t>k</t>
    </r>
    <r>
      <rPr>
        <b/>
        <vertAlign val="subscript"/>
        <sz val="10"/>
        <rFont val="Arial CE"/>
        <family val="2"/>
        <charset val="238"/>
      </rPr>
      <t>f</t>
    </r>
  </si>
  <si>
    <r>
      <t>f</t>
    </r>
    <r>
      <rPr>
        <b/>
        <vertAlign val="subscript"/>
        <sz val="10"/>
        <rFont val="Arial CE"/>
        <family val="2"/>
        <charset val="238"/>
      </rPr>
      <t>z</t>
    </r>
  </si>
  <si>
    <r>
      <t>b</t>
    </r>
    <r>
      <rPr>
        <b/>
        <vertAlign val="subscript"/>
        <sz val="10"/>
        <rFont val="Arial CE"/>
        <family val="2"/>
        <charset val="238"/>
      </rPr>
      <t>R</t>
    </r>
  </si>
  <si>
    <r>
      <t>n</t>
    </r>
    <r>
      <rPr>
        <b/>
        <vertAlign val="subscript"/>
        <sz val="10"/>
        <rFont val="Arial CE"/>
        <family val="2"/>
        <charset val="238"/>
      </rPr>
      <t>v</t>
    </r>
  </si>
  <si>
    <t xml:space="preserve">najlepšie v zelenanej vodorovnej mulde priamo nad vsakovacím zariadením -dvojposchodové vsakovacie zariadenie) </t>
  </si>
  <si>
    <t>Prebytočný objem dažďa v (m3) - pri 100 ročnom daždi tento objem oproti zvolenému dažďu treba   navyše zadržať na pozemku</t>
  </si>
  <si>
    <t>n</t>
  </si>
  <si>
    <t>ročný dážď</t>
  </si>
  <si>
    <t>*)</t>
  </si>
  <si>
    <t>Ing.Kováč</t>
  </si>
  <si>
    <r>
      <t xml:space="preserve">Zadajte periodicitu dažďa </t>
    </r>
    <r>
      <rPr>
        <sz val="8"/>
        <rFont val="Arial CE"/>
        <family val="2"/>
        <charset val="238"/>
      </rPr>
      <t>(1; 0,5; 0,2; 0,1; 0,05; 0,033; 0,02, 0,01)</t>
    </r>
  </si>
  <si>
    <t>Potrebná dĺžka vsakovacieho zariadenia v m pri uvažovaní vsakovania L v m:</t>
  </si>
  <si>
    <t>Objem vsakovacieho zariadenia v [ m3]</t>
  </si>
  <si>
    <t>súčiniteľ bezpečnosti - volí sa v rozmedzí 1,0 až 1,2</t>
  </si>
  <si>
    <t>Zadajte číslo zrážkomernej stanice</t>
  </si>
  <si>
    <t>Prietok - odtok z pripojenej plochy (l/sec)</t>
  </si>
  <si>
    <t>Zrážkomerná stanica:</t>
  </si>
  <si>
    <t>Kaufland Malacky</t>
  </si>
  <si>
    <r>
      <t xml:space="preserve">Orientačná plocha doplnkovej muldy v </t>
    </r>
    <r>
      <rPr>
        <b/>
        <sz val="10"/>
        <rFont val="Arial CE"/>
        <family val="2"/>
        <charset val="238"/>
      </rPr>
      <t>(m2)</t>
    </r>
    <r>
      <rPr>
        <sz val="10"/>
        <rFont val="Arial CE"/>
        <charset val="238"/>
      </rPr>
      <t xml:space="preserve"> pre zachytenie vôd 100 ročného dažďa .Plocha muldy je vztiahnutá k výške hladiny 25 cm </t>
    </r>
  </si>
  <si>
    <t>(25 cm je max. povolená výška nad trávnikom, voda by z plochy mala odtiecť do 3 hodín - potrebný kontrolný prepočet)</t>
  </si>
  <si>
    <t>Šírka</t>
  </si>
  <si>
    <t>Výška</t>
  </si>
  <si>
    <t>Plocha</t>
  </si>
  <si>
    <t xml:space="preserve">Objem </t>
  </si>
  <si>
    <t>Akum.objem</t>
  </si>
  <si>
    <t>Počet blokov</t>
  </si>
  <si>
    <r>
      <t>(m</t>
    </r>
    <r>
      <rPr>
        <vertAlign val="superscript"/>
        <sz val="10"/>
        <rFont val="Arial CE"/>
        <family val="2"/>
        <charset val="238"/>
      </rPr>
      <t>2</t>
    </r>
    <r>
      <rPr>
        <sz val="10"/>
        <rFont val="Arial CE"/>
        <charset val="238"/>
      </rPr>
      <t>)</t>
    </r>
  </si>
  <si>
    <r>
      <t>(m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charset val="238"/>
      </rPr>
      <t>)</t>
    </r>
  </si>
  <si>
    <t>Vyprázdnenie</t>
  </si>
  <si>
    <t>(l/sec.ha)</t>
  </si>
  <si>
    <t>(ks)</t>
  </si>
  <si>
    <t>(h)</t>
  </si>
  <si>
    <t xml:space="preserve">Dátum: </t>
  </si>
  <si>
    <t>Doba dažďa</t>
  </si>
  <si>
    <t>(min)</t>
  </si>
  <si>
    <t xml:space="preserve">Vypracoval: </t>
  </si>
  <si>
    <t>Dĺžka*)</t>
  </si>
  <si>
    <t>Návrh a rozmery vsakovacieho zariadenia</t>
  </si>
  <si>
    <t>Intenzita</t>
  </si>
  <si>
    <r>
      <t xml:space="preserve">Odpovedajúci počet ELWAblok </t>
    </r>
    <r>
      <rPr>
        <b/>
        <sz val="10"/>
        <color indexed="12"/>
        <rFont val="Arial"/>
        <family val="2"/>
        <charset val="238"/>
      </rPr>
      <t>[ ks]</t>
    </r>
    <r>
      <rPr>
        <b/>
        <sz val="10"/>
        <color indexed="12"/>
        <rFont val="Arial CE"/>
        <family val="2"/>
        <charset val="238"/>
      </rPr>
      <t xml:space="preserve">: </t>
    </r>
  </si>
  <si>
    <t xml:space="preserve">Pozn. Pre dané maximum určite najnepriaznivejšiu dobu dažďa D, a následne opravte D a zodpovedajúce rD(n) do zadávacej tabuľky </t>
  </si>
  <si>
    <t xml:space="preserve">    ELWAbloc - VÝPOČET potrebného počtu vsakovacích blokov ©</t>
  </si>
  <si>
    <r>
      <t xml:space="preserve">*) </t>
    </r>
    <r>
      <rPr>
        <sz val="10"/>
        <rFont val="Arial CE"/>
        <charset val="238"/>
      </rPr>
      <t>Upravte na násobok 0,5m, alebo 1,0m</t>
    </r>
  </si>
  <si>
    <t>Copiright © ELWA s.r.o, Teplická 1, BA, Vajnorská 134/B, prevádzka Nová 15 Pezinok,  www.elwa.sk, elwa@elwa, 0918 555 222,333,444</t>
  </si>
  <si>
    <t>Ing. Poliak M, 0918 555333</t>
  </si>
  <si>
    <t>Pozn.: Príslušný prebytok objemu zachytiť na vlastnom pozemku.Plochu pre zadržanie vody (prednostne zelenú plochu nad vsak.zariadením)</t>
  </si>
  <si>
    <t>vyčleniť na pozemku investora - po dohode s architektom, investorom, cestárom a záhradníkom.</t>
  </si>
  <si>
    <t>Počas  zemných prác nájdené archeologické nálezy ohláste telefonicky Archeologickému ústavu Nitra</t>
  </si>
  <si>
    <t>Bratislava</t>
  </si>
  <si>
    <t xml:space="preserve">          Periodicity intenzít krátkodobých dažďov </t>
  </si>
  <si>
    <t xml:space="preserve">                Zdroj: Zborník prác hydrometeorologického ústavu v Bratislave, SPN 1973</t>
  </si>
  <si>
    <t>Lokalita</t>
  </si>
  <si>
    <t>Banská Bystrica</t>
  </si>
  <si>
    <t>Trvanie zrážkových oddielov v minútach</t>
  </si>
  <si>
    <t>Banská Štiavnica</t>
  </si>
  <si>
    <t>Brezno</t>
  </si>
  <si>
    <t>Čadca</t>
  </si>
  <si>
    <t>Čertižné</t>
  </si>
  <si>
    <t>Číž</t>
  </si>
  <si>
    <t>Dobš.ľad.jaskyňa</t>
  </si>
  <si>
    <t>Dolný Kubín</t>
  </si>
  <si>
    <t>Gelnica</t>
  </si>
  <si>
    <t>Hliník nad Hr.</t>
  </si>
  <si>
    <t>Holíč</t>
  </si>
  <si>
    <t>Hrachovo</t>
  </si>
  <si>
    <t>Humenné</t>
  </si>
  <si>
    <t>Hurbanovo</t>
  </si>
  <si>
    <t>Ilava</t>
  </si>
  <si>
    <t>Jarabá</t>
  </si>
  <si>
    <t>Kežmarok</t>
  </si>
  <si>
    <t>Komárno</t>
  </si>
  <si>
    <t>Košice - Bankov</t>
  </si>
  <si>
    <t>Košice - Barca</t>
  </si>
  <si>
    <t>Kšinná</t>
  </si>
  <si>
    <t>Kuchyňa - Nový Dvor</t>
  </si>
  <si>
    <t>Ladzany</t>
  </si>
  <si>
    <t>Lešť</t>
  </si>
  <si>
    <t>Liptovský Hrádok</t>
  </si>
  <si>
    <t>Liptovská Teplička</t>
  </si>
  <si>
    <t>Lom nad Rimavicou</t>
  </si>
  <si>
    <t>Ľubochňa</t>
  </si>
  <si>
    <t>Lučenec</t>
  </si>
  <si>
    <t>Malé Bielce</t>
  </si>
  <si>
    <t>Martin</t>
  </si>
  <si>
    <t>Modra - Panský Dom</t>
  </si>
  <si>
    <t>Motešice - Letný Dvor</t>
  </si>
  <si>
    <t>Motyčky</t>
  </si>
  <si>
    <t>Nenince</t>
  </si>
  <si>
    <t>Nitra</t>
  </si>
  <si>
    <t>Nitrianske Pravno</t>
  </si>
  <si>
    <t>Nový Tekov</t>
  </si>
  <si>
    <t>Oravská Lesná</t>
  </si>
  <si>
    <t>Oravský Podzámok</t>
  </si>
  <si>
    <t>Oravská Polhora</t>
  </si>
  <si>
    <t>Papín</t>
  </si>
  <si>
    <t>Piešťany</t>
  </si>
  <si>
    <t>Poprad</t>
  </si>
  <si>
    <t>Prešov</t>
  </si>
  <si>
    <t>Prievidza</t>
  </si>
  <si>
    <t>Rožňava</t>
  </si>
  <si>
    <t>Skalnaté Pleso</t>
  </si>
  <si>
    <t>Spišská Nová Ves</t>
  </si>
  <si>
    <t>Starý Smokovec</t>
  </si>
  <si>
    <t>Stropkov</t>
  </si>
  <si>
    <t>Svätuša</t>
  </si>
  <si>
    <t>Štós - kúpele</t>
  </si>
  <si>
    <t>Štrbské Pleso</t>
  </si>
  <si>
    <t>Štúrovo</t>
  </si>
  <si>
    <t>Švermovo</t>
  </si>
  <si>
    <t>Tesárske Mlyňany</t>
  </si>
  <si>
    <t>Trebišov</t>
  </si>
  <si>
    <t>Trenčianske Biskupice</t>
  </si>
  <si>
    <t>Trnava</t>
  </si>
  <si>
    <t>Turčianske Teplice</t>
  </si>
  <si>
    <t>Valaská Belá</t>
  </si>
  <si>
    <t>Veľké Rovné - Podivor</t>
  </si>
  <si>
    <t>Vígľaš - Pstruša</t>
  </si>
  <si>
    <t>Zborov</t>
  </si>
  <si>
    <t>Zvolen - Hájniky</t>
  </si>
  <si>
    <t>Žilina</t>
  </si>
  <si>
    <r>
      <t xml:space="preserve">Upozornenie: údaje uvedené v tabuľke pod čiarou sú iba aproximované - slúžia pre výpočet prebytkových vôd pri </t>
    </r>
    <r>
      <rPr>
        <u/>
        <sz val="10"/>
        <rFont val="Arial CE"/>
        <family val="2"/>
        <charset val="238"/>
      </rPr>
      <t>100 ročnom</t>
    </r>
    <r>
      <rPr>
        <sz val="10"/>
        <rFont val="Arial CE"/>
        <charset val="238"/>
      </rPr>
      <t xml:space="preserve"> daždi!</t>
    </r>
  </si>
  <si>
    <r>
      <t xml:space="preserve">*) </t>
    </r>
    <r>
      <rPr>
        <sz val="10"/>
        <rFont val="Arial CE"/>
        <charset val="238"/>
      </rPr>
      <t xml:space="preserve">skontrolujte Graf 1 a následne upravte </t>
    </r>
    <r>
      <rPr>
        <b/>
        <sz val="10"/>
        <rFont val="Arial CE"/>
        <family val="2"/>
        <charset val="238"/>
      </rPr>
      <t>rD(n)</t>
    </r>
    <r>
      <rPr>
        <sz val="10"/>
        <rFont val="Arial CE"/>
        <charset val="238"/>
      </rPr>
      <t xml:space="preserve"> a </t>
    </r>
    <r>
      <rPr>
        <b/>
        <sz val="10"/>
        <rFont val="Arial CE"/>
        <family val="2"/>
        <charset val="238"/>
      </rPr>
      <t>D</t>
    </r>
    <r>
      <rPr>
        <sz val="10"/>
        <rFont val="Arial CE"/>
        <charset val="238"/>
      </rPr>
      <t xml:space="preserve"> tak, aby odpovedali maximu krivky pre zvolené </t>
    </r>
    <r>
      <rPr>
        <b/>
        <sz val="10"/>
        <rFont val="Arial CE"/>
        <family val="2"/>
        <charset val="238"/>
      </rPr>
      <t xml:space="preserve">n </t>
    </r>
  </si>
  <si>
    <t>cislo_stanice</t>
  </si>
  <si>
    <t>nazov_stanice</t>
  </si>
  <si>
    <t>periodicita dazda</t>
  </si>
  <si>
    <t>Dlzka dazda</t>
  </si>
  <si>
    <t>x</t>
  </si>
  <si>
    <t>y</t>
  </si>
  <si>
    <t>tabulka</t>
  </si>
  <si>
    <t>Zadajte zrážkomernú stanicu</t>
  </si>
  <si>
    <t xml:space="preserve">Zadajte periodicitu dažďa </t>
  </si>
  <si>
    <t>výška</t>
  </si>
  <si>
    <t>Akumulácia</t>
  </si>
  <si>
    <t>Intenzita dažďa</t>
  </si>
  <si>
    <t>min</t>
  </si>
  <si>
    <t>Intenzita dažďa pre periodicitu n pre danú lokalitu</t>
  </si>
  <si>
    <t>Koeficient vsakovania pôdy</t>
  </si>
  <si>
    <t>Súčiniteľ bezpečnosti - volí sa v rozmedzí 1,0 až 1,2</t>
  </si>
  <si>
    <t xml:space="preserve"> l/sec</t>
  </si>
  <si>
    <t>m</t>
  </si>
  <si>
    <t>ks</t>
  </si>
  <si>
    <t>l/sec.ha</t>
  </si>
  <si>
    <t>Odtokový súčiniteľ</t>
  </si>
  <si>
    <t>Prietok</t>
  </si>
  <si>
    <t>Počet vrstiev</t>
  </si>
  <si>
    <t>Súčiniteľ bezpečnosti</t>
  </si>
  <si>
    <t>Koeficient vsakovania</t>
  </si>
  <si>
    <t>šírka vsaku</t>
  </si>
  <si>
    <t>Periodicita/doba dažďa</t>
  </si>
  <si>
    <t>Doba dažďa *)</t>
  </si>
  <si>
    <t>(l /s.ha)</t>
  </si>
  <si>
    <t>Miera vsakovania</t>
  </si>
  <si>
    <t>Šírka vsakovacieho priestoru (iba násobky 0,6 m)</t>
  </si>
  <si>
    <t>0,6 m</t>
  </si>
  <si>
    <t>1-Banská Bystrica</t>
  </si>
  <si>
    <t>2-Banská Štiavnica</t>
  </si>
  <si>
    <t>3-Bratislava</t>
  </si>
  <si>
    <t>4-Brezno</t>
  </si>
  <si>
    <t>5-Čadca</t>
  </si>
  <si>
    <t>6-Čertižné</t>
  </si>
  <si>
    <t>7-Číž</t>
  </si>
  <si>
    <t>8-Dobš.ľad.jaskyňa</t>
  </si>
  <si>
    <t>9-Dolný Kubín</t>
  </si>
  <si>
    <t>10-Gelnica</t>
  </si>
  <si>
    <t>11-Hliník nad Hr.</t>
  </si>
  <si>
    <t>12-Holíč</t>
  </si>
  <si>
    <t>13-Hrachovo</t>
  </si>
  <si>
    <t>14-Humenné</t>
  </si>
  <si>
    <t>15-Hurbanovo</t>
  </si>
  <si>
    <t>16-Ilava</t>
  </si>
  <si>
    <t>17-Jarabá</t>
  </si>
  <si>
    <t>18-Kežmarok</t>
  </si>
  <si>
    <t>19-Komárno</t>
  </si>
  <si>
    <t>20-Košice - Bankov</t>
  </si>
  <si>
    <t>21-Košice - Barca</t>
  </si>
  <si>
    <t>22-Kšinná</t>
  </si>
  <si>
    <t>23-Kuchyňa - Nový Dvor</t>
  </si>
  <si>
    <t>24-Ladzany</t>
  </si>
  <si>
    <t>25-Lešť</t>
  </si>
  <si>
    <t>26-Liptovský Hrádok</t>
  </si>
  <si>
    <t>27-Liptovská Teplička</t>
  </si>
  <si>
    <t>28-Lom nad Rimavicou</t>
  </si>
  <si>
    <t>29-Ľubochňa</t>
  </si>
  <si>
    <t>30-Lučenec</t>
  </si>
  <si>
    <t>31-Malé Bielce</t>
  </si>
  <si>
    <t>32-Martin</t>
  </si>
  <si>
    <t>33-Modra - Panský Dom</t>
  </si>
  <si>
    <t>34-Motešice - Letný Dvor</t>
  </si>
  <si>
    <t>36-Nenince</t>
  </si>
  <si>
    <t>35-Motyčky</t>
  </si>
  <si>
    <t>37-Nitra</t>
  </si>
  <si>
    <t>38-Nitrianske Pravno</t>
  </si>
  <si>
    <t>39-Nový Tekov</t>
  </si>
  <si>
    <t>40-Oravská Lesná</t>
  </si>
  <si>
    <t>41-Oravský Podzámok</t>
  </si>
  <si>
    <t>42-Oravská Polhora</t>
  </si>
  <si>
    <t>43-Papín</t>
  </si>
  <si>
    <t>44-Piešťany</t>
  </si>
  <si>
    <t>45-Poprad</t>
  </si>
  <si>
    <t>47-Prievidza</t>
  </si>
  <si>
    <t>46-Prešov</t>
  </si>
  <si>
    <t>48-Rožňava</t>
  </si>
  <si>
    <t>49-Skalnaté Pleso</t>
  </si>
  <si>
    <t>50-Spišská Nová Ves</t>
  </si>
  <si>
    <t>51-Starý Smokovec</t>
  </si>
  <si>
    <t>52-Stropkov</t>
  </si>
  <si>
    <t>53-Svätuša</t>
  </si>
  <si>
    <t>54-Štós - kúpele</t>
  </si>
  <si>
    <t>55-Štrbské Pleso</t>
  </si>
  <si>
    <t>56-Štúrovo</t>
  </si>
  <si>
    <t>57-Švermovo</t>
  </si>
  <si>
    <t>58-Tesárske Mlyňany</t>
  </si>
  <si>
    <t>59-Trebišov</t>
  </si>
  <si>
    <t>60-Trenčianske Biskupice</t>
  </si>
  <si>
    <t>61-Trnava</t>
  </si>
  <si>
    <t>62-Turčianske Teplice</t>
  </si>
  <si>
    <t>63-Valaská Belá</t>
  </si>
  <si>
    <t>64-Veľké Rovné - Podivor</t>
  </si>
  <si>
    <t>65-Vígľaš - Pstruša</t>
  </si>
  <si>
    <t>66-Zborov</t>
  </si>
  <si>
    <t>67-Zvolen - Hájniky</t>
  </si>
  <si>
    <t>68-Žilina</t>
  </si>
  <si>
    <t>Objem VO</t>
  </si>
  <si>
    <t>Projektant:</t>
  </si>
  <si>
    <t>e-mail:</t>
  </si>
  <si>
    <t>Vypracoval:</t>
  </si>
  <si>
    <t>Akcia:</t>
  </si>
  <si>
    <t>Miesto:</t>
  </si>
  <si>
    <t>1.</t>
  </si>
  <si>
    <t>2.</t>
  </si>
  <si>
    <t>3.</t>
  </si>
  <si>
    <t>4.</t>
  </si>
  <si>
    <t>5.</t>
  </si>
  <si>
    <t>6.</t>
  </si>
  <si>
    <t>Zadajte dobu dažďa</t>
  </si>
  <si>
    <t>Hodnota</t>
  </si>
  <si>
    <t>Jednotka</t>
  </si>
  <si>
    <t>Krok</t>
  </si>
  <si>
    <t>7.</t>
  </si>
  <si>
    <t>Poznámka</t>
  </si>
  <si>
    <t>Úloha</t>
  </si>
  <si>
    <t>(-)</t>
  </si>
  <si>
    <t>Kontrolné výsledky výpočtu</t>
  </si>
  <si>
    <r>
      <t>l/s.m</t>
    </r>
    <r>
      <rPr>
        <vertAlign val="superscript"/>
        <sz val="8"/>
        <rFont val="Cambria"/>
        <family val="1"/>
        <charset val="238"/>
      </rPr>
      <t>2</t>
    </r>
  </si>
  <si>
    <r>
      <t>k</t>
    </r>
    <r>
      <rPr>
        <b/>
        <vertAlign val="subscript"/>
        <sz val="8"/>
        <rFont val="Cambria"/>
        <family val="1"/>
        <charset val="238"/>
      </rPr>
      <t>f</t>
    </r>
  </si>
  <si>
    <r>
      <t>f</t>
    </r>
    <r>
      <rPr>
        <b/>
        <vertAlign val="subscript"/>
        <sz val="8"/>
        <rFont val="Cambria"/>
        <family val="1"/>
        <charset val="238"/>
      </rPr>
      <t>z</t>
    </r>
  </si>
  <si>
    <r>
      <t>b</t>
    </r>
    <r>
      <rPr>
        <b/>
        <vertAlign val="subscript"/>
        <sz val="8"/>
        <rFont val="Cambria"/>
        <family val="1"/>
        <charset val="238"/>
      </rPr>
      <t>R</t>
    </r>
  </si>
  <si>
    <r>
      <t>n</t>
    </r>
    <r>
      <rPr>
        <b/>
        <vertAlign val="subscript"/>
        <sz val="8"/>
        <rFont val="Cambria"/>
        <family val="1"/>
        <charset val="238"/>
      </rPr>
      <t>v</t>
    </r>
  </si>
  <si>
    <r>
      <t>A</t>
    </r>
    <r>
      <rPr>
        <vertAlign val="subscript"/>
        <sz val="8"/>
        <rFont val="Cambria"/>
        <family val="1"/>
        <charset val="238"/>
      </rPr>
      <t>1</t>
    </r>
    <r>
      <rPr>
        <sz val="8"/>
        <rFont val="Cambria"/>
        <family val="1"/>
        <charset val="238"/>
      </rPr>
      <t>=</t>
    </r>
  </si>
  <si>
    <r>
      <t xml:space="preserve"> ( m</t>
    </r>
    <r>
      <rPr>
        <vertAlign val="superscript"/>
        <sz val="8"/>
        <rFont val="Cambria"/>
        <family val="1"/>
        <charset val="238"/>
      </rPr>
      <t>2</t>
    </r>
    <r>
      <rPr>
        <sz val="8"/>
        <rFont val="Cambria"/>
        <family val="1"/>
        <charset val="238"/>
      </rPr>
      <t>)</t>
    </r>
  </si>
  <si>
    <r>
      <t>Ψ</t>
    </r>
    <r>
      <rPr>
        <vertAlign val="subscript"/>
        <sz val="8"/>
        <rFont val="Cambria"/>
        <family val="1"/>
        <charset val="238"/>
      </rPr>
      <t>1</t>
    </r>
  </si>
  <si>
    <r>
      <t>A</t>
    </r>
    <r>
      <rPr>
        <vertAlign val="subscript"/>
        <sz val="8"/>
        <rFont val="Cambria"/>
        <family val="1"/>
        <charset val="238"/>
      </rPr>
      <t>2</t>
    </r>
    <r>
      <rPr>
        <sz val="8"/>
        <rFont val="Cambria"/>
        <family val="1"/>
        <charset val="238"/>
      </rPr>
      <t>=</t>
    </r>
  </si>
  <si>
    <r>
      <t>Ψ</t>
    </r>
    <r>
      <rPr>
        <vertAlign val="subscript"/>
        <sz val="8"/>
        <rFont val="Cambria"/>
        <family val="1"/>
        <charset val="238"/>
      </rPr>
      <t>2</t>
    </r>
    <r>
      <rPr>
        <sz val="10"/>
        <rFont val="Arial CE"/>
        <charset val="238"/>
      </rPr>
      <t/>
    </r>
  </si>
  <si>
    <r>
      <t>A</t>
    </r>
    <r>
      <rPr>
        <vertAlign val="subscript"/>
        <sz val="8"/>
        <rFont val="Cambria"/>
        <family val="1"/>
        <charset val="238"/>
      </rPr>
      <t>3</t>
    </r>
    <r>
      <rPr>
        <sz val="8"/>
        <rFont val="Cambria"/>
        <family val="1"/>
        <charset val="238"/>
      </rPr>
      <t>=</t>
    </r>
  </si>
  <si>
    <r>
      <t>Ψ</t>
    </r>
    <r>
      <rPr>
        <vertAlign val="subscript"/>
        <sz val="8"/>
        <rFont val="Cambria"/>
        <family val="1"/>
        <charset val="238"/>
      </rPr>
      <t>3</t>
    </r>
    <r>
      <rPr>
        <sz val="10"/>
        <rFont val="Arial CE"/>
        <charset val="238"/>
      </rPr>
      <t/>
    </r>
  </si>
  <si>
    <r>
      <t>A</t>
    </r>
    <r>
      <rPr>
        <vertAlign val="subscript"/>
        <sz val="8"/>
        <rFont val="Cambria"/>
        <family val="1"/>
        <charset val="238"/>
      </rPr>
      <t>4</t>
    </r>
    <r>
      <rPr>
        <sz val="8"/>
        <rFont val="Cambria"/>
        <family val="1"/>
        <charset val="238"/>
      </rPr>
      <t>=</t>
    </r>
  </si>
  <si>
    <r>
      <t>Ψ</t>
    </r>
    <r>
      <rPr>
        <vertAlign val="subscript"/>
        <sz val="8"/>
        <rFont val="Cambria"/>
        <family val="1"/>
        <charset val="238"/>
      </rPr>
      <t>4</t>
    </r>
    <r>
      <rPr>
        <sz val="10"/>
        <rFont val="Arial CE"/>
        <charset val="238"/>
      </rPr>
      <t/>
    </r>
  </si>
  <si>
    <r>
      <t>A</t>
    </r>
    <r>
      <rPr>
        <vertAlign val="subscript"/>
        <sz val="8"/>
        <rFont val="Cambria"/>
        <family val="1"/>
        <charset val="238"/>
      </rPr>
      <t>5</t>
    </r>
    <r>
      <rPr>
        <sz val="8"/>
        <rFont val="Cambria"/>
        <family val="1"/>
        <charset val="238"/>
      </rPr>
      <t>=</t>
    </r>
  </si>
  <si>
    <r>
      <t>Ψ</t>
    </r>
    <r>
      <rPr>
        <vertAlign val="subscript"/>
        <sz val="8"/>
        <rFont val="Cambria"/>
        <family val="1"/>
        <charset val="238"/>
      </rPr>
      <t>5</t>
    </r>
    <r>
      <rPr>
        <sz val="10"/>
        <rFont val="Arial CE"/>
        <charset val="238"/>
      </rPr>
      <t/>
    </r>
  </si>
  <si>
    <r>
      <t>A</t>
    </r>
    <r>
      <rPr>
        <vertAlign val="subscript"/>
        <sz val="8"/>
        <rFont val="Cambria"/>
        <family val="1"/>
        <charset val="238"/>
      </rPr>
      <t>6</t>
    </r>
    <r>
      <rPr>
        <sz val="8"/>
        <rFont val="Cambria"/>
        <family val="1"/>
        <charset val="238"/>
      </rPr>
      <t>=</t>
    </r>
  </si>
  <si>
    <r>
      <t>Ψ</t>
    </r>
    <r>
      <rPr>
        <vertAlign val="subscript"/>
        <sz val="8"/>
        <rFont val="Cambria"/>
        <family val="1"/>
        <charset val="238"/>
      </rPr>
      <t>6</t>
    </r>
    <r>
      <rPr>
        <sz val="10"/>
        <rFont val="Arial CE"/>
        <charset val="238"/>
      </rPr>
      <t/>
    </r>
  </si>
  <si>
    <r>
      <t>A</t>
    </r>
    <r>
      <rPr>
        <vertAlign val="subscript"/>
        <sz val="8"/>
        <rFont val="Cambria"/>
        <family val="1"/>
        <charset val="238"/>
      </rPr>
      <t>7</t>
    </r>
    <r>
      <rPr>
        <sz val="8"/>
        <rFont val="Cambria"/>
        <family val="1"/>
        <charset val="238"/>
      </rPr>
      <t>=</t>
    </r>
  </si>
  <si>
    <r>
      <t>Ψ</t>
    </r>
    <r>
      <rPr>
        <vertAlign val="subscript"/>
        <sz val="8"/>
        <rFont val="Cambria"/>
        <family val="1"/>
        <charset val="238"/>
      </rPr>
      <t>7</t>
    </r>
    <r>
      <rPr>
        <sz val="10"/>
        <rFont val="Arial CE"/>
        <charset val="238"/>
      </rPr>
      <t/>
    </r>
  </si>
  <si>
    <r>
      <t xml:space="preserve"> ( m</t>
    </r>
    <r>
      <rPr>
        <b/>
        <vertAlign val="superscript"/>
        <sz val="8"/>
        <rFont val="Cambria"/>
        <family val="1"/>
        <charset val="238"/>
      </rPr>
      <t>2</t>
    </r>
    <r>
      <rPr>
        <b/>
        <sz val="8"/>
        <rFont val="Cambria"/>
        <family val="1"/>
        <charset val="238"/>
      </rPr>
      <t>)</t>
    </r>
  </si>
  <si>
    <r>
      <t>Počet vrstiev n</t>
    </r>
    <r>
      <rPr>
        <b/>
        <vertAlign val="subscript"/>
        <sz val="8"/>
        <rFont val="Cambria"/>
        <family val="1"/>
        <charset val="238"/>
      </rPr>
      <t>v</t>
    </r>
    <r>
      <rPr>
        <b/>
        <sz val="8"/>
        <rFont val="Cambria"/>
        <family val="1"/>
        <charset val="238"/>
      </rPr>
      <t>:</t>
    </r>
  </si>
  <si>
    <r>
      <t>m</t>
    </r>
    <r>
      <rPr>
        <vertAlign val="superscript"/>
        <sz val="8"/>
        <rFont val="Cambria"/>
        <family val="1"/>
        <charset val="238"/>
      </rPr>
      <t>3</t>
    </r>
  </si>
  <si>
    <t>za sebou</t>
  </si>
  <si>
    <t>vedľa seba</t>
  </si>
  <si>
    <t>Názov Projektu</t>
  </si>
  <si>
    <t>Projektant</t>
  </si>
  <si>
    <t>Vypracoval</t>
  </si>
  <si>
    <t>Dátum vyhotovenia</t>
  </si>
  <si>
    <t>DB60</t>
  </si>
  <si>
    <t>Značka</t>
  </si>
  <si>
    <t>9.</t>
  </si>
  <si>
    <t>Vstupné údaje :</t>
  </si>
  <si>
    <t>Výsledky - tabuľky a grafy</t>
  </si>
  <si>
    <t>Voľba parametrov</t>
  </si>
  <si>
    <t>dĺžka</t>
  </si>
  <si>
    <t>(prebytočný objem 100-ročného dažďa treba po  dohode s investorom, architektom a cestárom umiestniť na povrchu v zeleni - mulda, parkovisko...)</t>
  </si>
  <si>
    <t>24 hod</t>
  </si>
  <si>
    <t>72 hod</t>
  </si>
  <si>
    <t>Prietok spolu:</t>
  </si>
  <si>
    <t>8.</t>
  </si>
  <si>
    <r>
      <t>v</t>
    </r>
    <r>
      <rPr>
        <b/>
        <vertAlign val="subscript"/>
        <sz val="8"/>
        <rFont val="Cambria"/>
        <family val="1"/>
        <charset val="238"/>
      </rPr>
      <t>DB</t>
    </r>
  </si>
  <si>
    <t>Typ bloku</t>
  </si>
  <si>
    <t>DB20</t>
  </si>
  <si>
    <t>DB30</t>
  </si>
  <si>
    <t>DB40</t>
  </si>
  <si>
    <t>DB50</t>
  </si>
  <si>
    <t>Spolu=</t>
  </si>
  <si>
    <t>DB</t>
  </si>
  <si>
    <t>mm</t>
  </si>
  <si>
    <t>Objem bloku=</t>
  </si>
  <si>
    <t>l</t>
  </si>
  <si>
    <r>
      <t xml:space="preserve"> v</t>
    </r>
    <r>
      <rPr>
        <vertAlign val="subscript"/>
        <sz val="12"/>
        <rFont val="Cambria"/>
        <family val="1"/>
        <charset val="238"/>
      </rPr>
      <t>DB</t>
    </r>
    <r>
      <rPr>
        <sz val="12"/>
        <rFont val="Cambria"/>
        <family val="1"/>
        <charset val="238"/>
      </rPr>
      <t>=</t>
    </r>
  </si>
  <si>
    <t>1-ročný</t>
  </si>
  <si>
    <t>2-ročný</t>
  </si>
  <si>
    <t>5-ročný</t>
  </si>
  <si>
    <t>10-ročný</t>
  </si>
  <si>
    <t>20-ročný</t>
  </si>
  <si>
    <t>30-ročný</t>
  </si>
  <si>
    <t>50-ročný</t>
  </si>
  <si>
    <t>100-ročný</t>
  </si>
  <si>
    <t>šírka</t>
  </si>
  <si>
    <r>
      <t>Drenblok</t>
    </r>
    <r>
      <rPr>
        <b/>
        <vertAlign val="superscript"/>
        <sz val="8"/>
        <rFont val="Cambria"/>
        <family val="1"/>
        <charset val="238"/>
      </rPr>
      <t>®</t>
    </r>
  </si>
  <si>
    <t>celkom</t>
  </si>
  <si>
    <t>Dĺžka - navrhnutá</t>
  </si>
  <si>
    <t>Dĺžka (vypočítaná)</t>
  </si>
  <si>
    <t>ks blokov DB</t>
  </si>
  <si>
    <r>
      <t>Ψ</t>
    </r>
    <r>
      <rPr>
        <vertAlign val="subscript"/>
        <sz val="8"/>
        <rFont val="Cambria"/>
        <family val="1"/>
        <charset val="238"/>
      </rPr>
      <t>8</t>
    </r>
  </si>
  <si>
    <r>
      <t>A</t>
    </r>
    <r>
      <rPr>
        <vertAlign val="subscript"/>
        <sz val="8"/>
        <rFont val="Cambria"/>
        <family val="1"/>
        <charset val="238"/>
      </rPr>
      <t>8</t>
    </r>
    <r>
      <rPr>
        <sz val="8"/>
        <rFont val="Cambria"/>
        <family val="1"/>
        <charset val="238"/>
      </rPr>
      <t>=</t>
    </r>
  </si>
  <si>
    <t>Popis</t>
  </si>
  <si>
    <r>
      <t>Výška bloku v</t>
    </r>
    <r>
      <rPr>
        <b/>
        <vertAlign val="subscript"/>
        <sz val="8"/>
        <rFont val="Cambria"/>
        <family val="1"/>
        <charset val="238"/>
      </rPr>
      <t>DB</t>
    </r>
    <r>
      <rPr>
        <b/>
        <sz val="8"/>
        <rFont val="Cambria"/>
        <family val="1"/>
        <charset val="238"/>
      </rPr>
      <t xml:space="preserve"> (m):</t>
    </r>
  </si>
  <si>
    <t>Celková výška v (m):</t>
  </si>
  <si>
    <t>Dĺžka L (m) :</t>
  </si>
  <si>
    <r>
      <t>Objem (m</t>
    </r>
    <r>
      <rPr>
        <b/>
        <vertAlign val="superscript"/>
        <sz val="8"/>
        <rFont val="Cambria"/>
        <family val="1"/>
        <charset val="238"/>
      </rPr>
      <t>3</t>
    </r>
    <r>
      <rPr>
        <b/>
        <sz val="8"/>
        <rFont val="Cambria"/>
        <family val="1"/>
        <charset val="238"/>
      </rPr>
      <t>):</t>
    </r>
  </si>
  <si>
    <t>Čas vsiaknutia (hod):</t>
  </si>
  <si>
    <r>
      <t xml:space="preserve">Upozornenie: údaje uvedené v tabuľke pod čiarou sú iba aproximované - slúžia pre výpočet prebytkových vôd pri </t>
    </r>
    <r>
      <rPr>
        <u/>
        <sz val="9"/>
        <rFont val="Verdana"/>
        <family val="2"/>
        <charset val="238"/>
      </rPr>
      <t>100 ročnom</t>
    </r>
    <r>
      <rPr>
        <sz val="9"/>
        <rFont val="Verdana"/>
        <family val="2"/>
        <charset val="238"/>
      </rPr>
      <t xml:space="preserve"> daždi!</t>
    </r>
  </si>
  <si>
    <t>dĺžka jedného bloku:</t>
  </si>
  <si>
    <t>šírka  jedného bloku:</t>
  </si>
  <si>
    <t>výška jedného bloku (m):</t>
  </si>
  <si>
    <t>nad sebou</t>
  </si>
  <si>
    <t>Výpočet vsakovacieho zariadenia je pre nasledovné zadávacie podmienky:</t>
  </si>
  <si>
    <t>www.ekodren.sk</t>
  </si>
  <si>
    <t>Konečný výsledok výpočtu vsakovacieho zariadenia pre zadané parametre:</t>
  </si>
  <si>
    <t>/doba dažďa</t>
  </si>
  <si>
    <t>/periodicita</t>
  </si>
  <si>
    <r>
      <t>Počet blokov DB</t>
    </r>
    <r>
      <rPr>
        <b/>
        <vertAlign val="superscript"/>
        <sz val="8"/>
        <rFont val="Cambria"/>
        <family val="1"/>
        <charset val="238"/>
      </rPr>
      <t>®</t>
    </r>
  </si>
  <si>
    <t>Vsakovacia plocha</t>
  </si>
  <si>
    <t>(Redukovaná plocha Ae )</t>
  </si>
  <si>
    <t>Typ vsakovacieho bloku</t>
  </si>
  <si>
    <t>Dľžka vsak. zariadenia:</t>
  </si>
  <si>
    <t>2 roč. dážď</t>
  </si>
  <si>
    <t>5-roč. dážď</t>
  </si>
  <si>
    <t>10-roč. dážď</t>
  </si>
  <si>
    <t>1-roč. dážď</t>
  </si>
  <si>
    <t>2-roč. dážď</t>
  </si>
  <si>
    <t>20-roč. dážď</t>
  </si>
  <si>
    <t>33-roč. dážď</t>
  </si>
  <si>
    <t>50-roč. dážď</t>
  </si>
  <si>
    <t>100-roč. dážď</t>
  </si>
  <si>
    <t>Max. doba vsiaknutia je podľa :</t>
  </si>
  <si>
    <t>bukovcan@ekodren.sk</t>
  </si>
  <si>
    <t>min.</t>
  </si>
  <si>
    <t>© Výpočtový program je chránený autorskými právami podľa platných zákonov</t>
  </si>
  <si>
    <t>Kladačský plán navrhnutého vsakovacieho zariadenia:</t>
  </si>
  <si>
    <t>Rozmery navrhnutého vsakovacieho zariadenia:</t>
  </si>
  <si>
    <t>Lubo</t>
  </si>
  <si>
    <t>Palo</t>
  </si>
  <si>
    <t>mail</t>
  </si>
  <si>
    <t>dubek@ekodren.sk</t>
  </si>
  <si>
    <t>marsalko@ekodren.sk</t>
  </si>
  <si>
    <t>riman@ekodren.sk</t>
  </si>
  <si>
    <t>projektant</t>
  </si>
  <si>
    <t>Ing.</t>
  </si>
  <si>
    <t xml:space="preserve">  Navrhovaný podľa technickej normy ATV DVWK-A 138 a ATV DVWK A-117</t>
  </si>
  <si>
    <t>výška jedného vsakovacieho bloku</t>
  </si>
  <si>
    <t>Vstupné parametre</t>
  </si>
  <si>
    <t>periodicita</t>
  </si>
  <si>
    <t>trvanie dažďa</t>
  </si>
  <si>
    <t>bezpečnosť</t>
  </si>
  <si>
    <t>počet vrstiev</t>
  </si>
  <si>
    <t>infiltrácia</t>
  </si>
  <si>
    <t>Zadajte plochy všetkých čiastkových odvodňovaných plôch a ich odtokový súčiniteľ!</t>
  </si>
  <si>
    <r>
      <t>m</t>
    </r>
    <r>
      <rPr>
        <b/>
        <vertAlign val="superscript"/>
        <sz val="8"/>
        <rFont val="Cambria"/>
        <family val="1"/>
        <charset val="238"/>
      </rPr>
      <t>2</t>
    </r>
  </si>
  <si>
    <r>
      <t>m</t>
    </r>
    <r>
      <rPr>
        <b/>
        <vertAlign val="superscript"/>
        <sz val="8"/>
        <rFont val="Cambria"/>
        <family val="1"/>
        <charset val="238"/>
      </rPr>
      <t>3</t>
    </r>
  </si>
  <si>
    <r>
      <t xml:space="preserve">(600mm x 600mm x  </t>
    </r>
    <r>
      <rPr>
        <b/>
        <sz val="8"/>
        <rFont val="Cambria"/>
        <family val="1"/>
        <charset val="238"/>
      </rPr>
      <t>v</t>
    </r>
    <r>
      <rPr>
        <b/>
        <vertAlign val="subscript"/>
        <sz val="8"/>
        <rFont val="Cambria"/>
        <family val="1"/>
        <charset val="238"/>
      </rPr>
      <t>DB</t>
    </r>
    <r>
      <rPr>
        <sz val="8"/>
        <rFont val="Cambria"/>
        <family val="1"/>
        <charset val="238"/>
      </rPr>
      <t xml:space="preserve">  mm)</t>
    </r>
  </si>
  <si>
    <t>prietok</t>
  </si>
  <si>
    <t>Príslušenstvo vsakovacieho zariadenia:</t>
  </si>
  <si>
    <t>Orientačná tabuľka - pre posúdenie optimálneho počtu vrstiev a doby vsiaknutia pre typ bloku DB:</t>
  </si>
  <si>
    <t>ČSN75901:</t>
  </si>
  <si>
    <t xml:space="preserve">ATV-A-138: </t>
  </si>
  <si>
    <t>Dodávateľ:</t>
  </si>
  <si>
    <t>Výška vsak zariadenia:</t>
  </si>
  <si>
    <t>Šírka vsak. zariadenia:</t>
  </si>
  <si>
    <t>Počet kusov:</t>
  </si>
  <si>
    <t>*) skontrolovať maximum grafu = kritická doba dažďa</t>
  </si>
  <si>
    <t>**) Prebytočný objem vody  v m3 - viď graf  G2</t>
  </si>
  <si>
    <t>Poznámka : Zobrazený technický obrázok je len ilustračný a jeho technické riešenie sa nemusí zhodovať s navrhovaným vsakovacím zariadením</t>
  </si>
  <si>
    <t>objekt:</t>
  </si>
  <si>
    <t xml:space="preserve"> ks blokov na šírku</t>
  </si>
  <si>
    <t xml:space="preserve"> ks blokov na dľžku</t>
  </si>
  <si>
    <t xml:space="preserve"> ks blokov na výšku</t>
  </si>
  <si>
    <t xml:space="preserve">                Minimálne vzdialenosti vsaku od budovy:</t>
  </si>
  <si>
    <t>Tab.1</t>
  </si>
  <si>
    <t>Tab.3</t>
  </si>
  <si>
    <t>Graf 1</t>
  </si>
  <si>
    <t>Graf 2</t>
  </si>
  <si>
    <t>rozmery jedného vsakovacieho bloku:</t>
  </si>
  <si>
    <t>Peťo</t>
  </si>
  <si>
    <t>Maťo</t>
  </si>
  <si>
    <t>Juro</t>
  </si>
  <si>
    <t>Vova</t>
  </si>
  <si>
    <t>caso@ekodren.sk</t>
  </si>
  <si>
    <t>tel.:</t>
  </si>
  <si>
    <t>guzmicky@ekodren.sk</t>
  </si>
  <si>
    <t xml:space="preserve">Ing. L. Riman, </t>
  </si>
  <si>
    <t xml:space="preserve">Ing. P. Dubek, </t>
  </si>
  <si>
    <t xml:space="preserve">Ing. P. Časo, </t>
  </si>
  <si>
    <t xml:space="preserve">Ing. M. Maršalko, </t>
  </si>
  <si>
    <t xml:space="preserve">Ing. J. Bukovčan, </t>
  </si>
  <si>
    <t xml:space="preserve">Ing. V. Guzmický, </t>
  </si>
  <si>
    <t xml:space="preserve">0918/555 222, </t>
  </si>
  <si>
    <t xml:space="preserve">0918/555 444, </t>
  </si>
  <si>
    <t xml:space="preserve">0918/555 223, </t>
  </si>
  <si>
    <t xml:space="preserve">0918/55 66 55, </t>
  </si>
  <si>
    <t xml:space="preserve">0918/55 44 55, </t>
  </si>
  <si>
    <t xml:space="preserve">0918/444 333, </t>
  </si>
  <si>
    <t>Tel./mob.:</t>
  </si>
  <si>
    <t>Dátum:</t>
  </si>
  <si>
    <t>Vsakovací objekt - číslo:</t>
  </si>
  <si>
    <t>VO - 1</t>
  </si>
  <si>
    <t>Tab.2.1</t>
  </si>
  <si>
    <t>Tab.2.2</t>
  </si>
  <si>
    <t>Orientačná tabuľka - pre posúdenie vsaku pre tepelné čerpadlo</t>
  </si>
  <si>
    <r>
      <t>m</t>
    </r>
    <r>
      <rPr>
        <vertAlign val="superscript"/>
        <sz val="8"/>
        <rFont val="Cambria"/>
        <family val="1"/>
        <charset val="238"/>
      </rPr>
      <t>2</t>
    </r>
  </si>
  <si>
    <r>
      <t>Vsakovacia plocha (m</t>
    </r>
    <r>
      <rPr>
        <b/>
        <vertAlign val="superscript"/>
        <sz val="8"/>
        <rFont val="Cambria"/>
        <family val="1"/>
        <charset val="238"/>
      </rPr>
      <t>2</t>
    </r>
    <r>
      <rPr>
        <b/>
        <sz val="8"/>
        <rFont val="Cambria"/>
        <family val="1"/>
        <charset val="238"/>
      </rPr>
      <t>)</t>
    </r>
  </si>
  <si>
    <t>Dĺžka vsaku (m) :</t>
  </si>
  <si>
    <t>Priemer vsako- studne DN (mm):</t>
  </si>
  <si>
    <r>
      <rPr>
        <b/>
        <u/>
        <sz val="8"/>
        <rFont val="Cambria"/>
        <family val="1"/>
        <charset val="238"/>
      </rPr>
      <t>Zadaj</t>
    </r>
    <r>
      <rPr>
        <b/>
        <sz val="8"/>
        <rFont val="Cambria"/>
        <family val="1"/>
        <charset val="238"/>
      </rPr>
      <t xml:space="preserve"> hľbku vsako-studne (m):</t>
    </r>
  </si>
  <si>
    <r>
      <rPr>
        <b/>
        <u/>
        <sz val="8"/>
        <rFont val="Cambria"/>
        <family val="1"/>
        <charset val="238"/>
      </rPr>
      <t>Zadaj</t>
    </r>
    <r>
      <rPr>
        <b/>
        <sz val="8"/>
        <rFont val="Cambria"/>
        <family val="1"/>
        <charset val="238"/>
      </rPr>
      <t xml:space="preserve"> šírku vsaku (m):</t>
    </r>
  </si>
  <si>
    <t>Odporúčané priemery vsakovacej studne DN (mm):DN125; DN160; DN200; DN300; DN400; DN500; DN600; DN800</t>
  </si>
  <si>
    <r>
      <t xml:space="preserve">Počet vrstiev DRENBLOK-vsakovacích blokov </t>
    </r>
    <r>
      <rPr>
        <b/>
        <sz val="8"/>
        <rFont val="Cambria"/>
        <family val="1"/>
        <charset val="238"/>
      </rPr>
      <t>DB</t>
    </r>
    <r>
      <rPr>
        <b/>
        <vertAlign val="superscript"/>
        <sz val="8"/>
        <rFont val="Cambria"/>
        <family val="1"/>
        <charset val="238"/>
      </rPr>
      <t>®</t>
    </r>
    <r>
      <rPr>
        <sz val="8"/>
        <rFont val="Cambria"/>
        <family val="1"/>
        <charset val="238"/>
      </rPr>
      <t xml:space="preserve"> (1 až 5)</t>
    </r>
  </si>
  <si>
    <r>
      <t>Počet vsakovacích blokov DRENBLOK</t>
    </r>
    <r>
      <rPr>
        <b/>
        <vertAlign val="superscript"/>
        <sz val="10"/>
        <rFont val="Cambria"/>
        <family val="1"/>
        <charset val="238"/>
      </rPr>
      <t>®</t>
    </r>
    <r>
      <rPr>
        <b/>
        <sz val="10"/>
        <rFont val="Cambria"/>
        <family val="1"/>
        <charset val="238"/>
      </rPr>
      <t xml:space="preserve">  </t>
    </r>
  </si>
  <si>
    <t>Prebytočný objem dažďa v m3  pri 100-ročnom daždi rozliaty na plochu (jazierko) cez bezpečnostný prepad</t>
  </si>
  <si>
    <t>Zaťaženie SLW 60</t>
  </si>
  <si>
    <t>Zaťaženie SLW 30</t>
  </si>
  <si>
    <t>MAX. KRYTIE</t>
  </si>
  <si>
    <t xml:space="preserve">MAX. HĹBKA </t>
  </si>
  <si>
    <t>3,2m</t>
  </si>
  <si>
    <t>2,6m</t>
  </si>
  <si>
    <t>5,0m</t>
  </si>
  <si>
    <t>3,0m</t>
  </si>
  <si>
    <t>4,6m</t>
  </si>
  <si>
    <t>4,4m</t>
  </si>
  <si>
    <t>3,8m</t>
  </si>
  <si>
    <t>4,2m</t>
  </si>
  <si>
    <t>3,4m</t>
  </si>
  <si>
    <r>
      <t xml:space="preserve">Maximálne krytie a max. hľbka pre DRENBLOK </t>
    </r>
    <r>
      <rPr>
        <b/>
        <u/>
        <sz val="8"/>
        <rFont val="Cambria"/>
        <family val="1"/>
        <charset val="238"/>
      </rPr>
      <t>DB40</t>
    </r>
  </si>
  <si>
    <t>2,0m</t>
  </si>
  <si>
    <r>
      <t xml:space="preserve">Maximálne krytie a max. hľbka pre DRENBLOK </t>
    </r>
    <r>
      <rPr>
        <b/>
        <u/>
        <sz val="8"/>
        <rFont val="Cambria"/>
        <family val="1"/>
        <charset val="238"/>
      </rPr>
      <t>DB60</t>
    </r>
  </si>
  <si>
    <t>Tab.4</t>
  </si>
  <si>
    <t>Maximálne krytie a maximálna hľbka uloženia blokov DRENBLOK DB40 a DB60</t>
  </si>
  <si>
    <t xml:space="preserve">Navrh.vsak.blok : </t>
  </si>
  <si>
    <r>
      <t>Ekodren</t>
    </r>
    <r>
      <rPr>
        <b/>
        <vertAlign val="superscript"/>
        <sz val="8"/>
        <rFont val="Cambria"/>
        <family val="1"/>
        <charset val="238"/>
      </rPr>
      <t>®</t>
    </r>
    <r>
      <rPr>
        <b/>
        <sz val="8"/>
        <rFont val="Cambria"/>
        <family val="1"/>
        <charset val="238"/>
      </rPr>
      <t xml:space="preserve"> - DR Unit spol. s r.o., Nová 15, 902 03 Pezinok</t>
    </r>
  </si>
  <si>
    <r>
      <t>SCHÉMA VSAKOVACIEHO SYSTÉMU EKODREN Drenblok</t>
    </r>
    <r>
      <rPr>
        <b/>
        <vertAlign val="superscript"/>
        <sz val="12"/>
        <rFont val="Cambria"/>
        <family val="1"/>
        <charset val="238"/>
      </rPr>
      <t xml:space="preserve">®                                                                                                            </t>
    </r>
    <r>
      <rPr>
        <b/>
        <sz val="12"/>
        <rFont val="Cambria"/>
        <family val="1"/>
        <charset val="238"/>
      </rPr>
      <t xml:space="preserve"> S FILTRÁCIOU, ODVETRANÍM A BEZPEČNOSTNÝM PREPADOM</t>
    </r>
  </si>
  <si>
    <t>0948 514 497</t>
  </si>
  <si>
    <t>výpočet potrebného počtu vsakovacích blokov typ DB:</t>
  </si>
  <si>
    <t>SO 05 Základná škola Ostredky</t>
  </si>
  <si>
    <t>parc. č. 1216, k.u. Ružinov</t>
  </si>
  <si>
    <t>Ing. Peter Sivoň, PhD. - psst s.r.o.</t>
  </si>
  <si>
    <t>Výpočet vsakovania pre vsakovacie bloky  DB</t>
  </si>
  <si>
    <t>atelierpsst@gmail.com</t>
  </si>
  <si>
    <t>detske ihrisko</t>
  </si>
  <si>
    <t>ihrisko nove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</si>
</sst>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E+00"/>
    <numFmt numFmtId="167" formatCode="0.00000"/>
    <numFmt numFmtId="168" formatCode="#,##0.0"/>
    <numFmt numFmtId="169" formatCode="#,##0.000"/>
  </numFmts>
  <fonts count="11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vertAlign val="subscript"/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8"/>
      <name val="Arial CE"/>
      <family val="2"/>
      <charset val="238"/>
    </font>
    <font>
      <b/>
      <vertAlign val="subscript"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12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u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6"/>
      <color indexed="10"/>
      <name val="Arial CE"/>
      <family val="2"/>
      <charset val="238"/>
    </font>
    <font>
      <b/>
      <sz val="16"/>
      <color indexed="18"/>
      <name val="Arial CE"/>
      <family val="2"/>
      <charset val="238"/>
    </font>
    <font>
      <sz val="16"/>
      <name val="Arial CE"/>
      <family val="2"/>
      <charset val="238"/>
    </font>
    <font>
      <b/>
      <sz val="14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i/>
      <sz val="10"/>
      <name val="Verdana"/>
      <family val="2"/>
      <charset val="238"/>
    </font>
    <font>
      <sz val="12"/>
      <name val="Verdana"/>
      <family val="2"/>
      <charset val="238"/>
    </font>
    <font>
      <sz val="8"/>
      <name val="Arial CE"/>
      <family val="2"/>
      <charset val="238"/>
    </font>
    <font>
      <sz val="10"/>
      <name val="Cambria"/>
      <family val="1"/>
      <charset val="238"/>
    </font>
    <font>
      <b/>
      <i/>
      <sz val="10"/>
      <name val="Cambria"/>
      <family val="1"/>
      <charset val="238"/>
    </font>
    <font>
      <sz val="8"/>
      <name val="Cambria"/>
      <family val="1"/>
      <charset val="238"/>
    </font>
    <font>
      <b/>
      <i/>
      <sz val="8"/>
      <name val="Cambria"/>
      <family val="1"/>
      <charset val="238"/>
    </font>
    <font>
      <b/>
      <sz val="8"/>
      <name val="Cambria"/>
      <family val="1"/>
      <charset val="238"/>
    </font>
    <font>
      <u/>
      <sz val="8"/>
      <color indexed="12"/>
      <name val="Cambria"/>
      <family val="1"/>
      <charset val="238"/>
    </font>
    <font>
      <i/>
      <sz val="8"/>
      <name val="Cambria"/>
      <family val="1"/>
      <charset val="238"/>
    </font>
    <font>
      <sz val="8"/>
      <color indexed="10"/>
      <name val="Cambria"/>
      <family val="1"/>
      <charset val="238"/>
    </font>
    <font>
      <vertAlign val="superscript"/>
      <sz val="8"/>
      <name val="Cambria"/>
      <family val="1"/>
      <charset val="238"/>
    </font>
    <font>
      <b/>
      <vertAlign val="subscript"/>
      <sz val="8"/>
      <name val="Cambria"/>
      <family val="1"/>
      <charset val="238"/>
    </font>
    <font>
      <b/>
      <sz val="8"/>
      <color indexed="12"/>
      <name val="Cambria"/>
      <family val="1"/>
      <charset val="238"/>
    </font>
    <font>
      <vertAlign val="subscript"/>
      <sz val="8"/>
      <name val="Cambria"/>
      <family val="1"/>
      <charset val="238"/>
    </font>
    <font>
      <b/>
      <vertAlign val="superscript"/>
      <sz val="8"/>
      <name val="Cambria"/>
      <family val="1"/>
      <charset val="238"/>
    </font>
    <font>
      <b/>
      <sz val="8"/>
      <color indexed="8"/>
      <name val="Cambria"/>
      <family val="1"/>
      <charset val="238"/>
    </font>
    <font>
      <b/>
      <sz val="8"/>
      <color indexed="17"/>
      <name val="Cambria"/>
      <family val="1"/>
      <charset val="238"/>
    </font>
    <font>
      <sz val="8"/>
      <color indexed="12"/>
      <name val="Cambria"/>
      <family val="1"/>
      <charset val="238"/>
    </font>
    <font>
      <b/>
      <sz val="8"/>
      <color indexed="10"/>
      <name val="Cambria"/>
      <family val="1"/>
      <charset val="238"/>
    </font>
    <font>
      <b/>
      <sz val="12"/>
      <name val="Cambria"/>
      <family val="1"/>
      <charset val="238"/>
    </font>
    <font>
      <sz val="12"/>
      <name val="Cambria"/>
      <family val="1"/>
      <charset val="238"/>
    </font>
    <font>
      <b/>
      <sz val="10"/>
      <name val="Cambria"/>
      <family val="1"/>
      <charset val="238"/>
    </font>
    <font>
      <sz val="8"/>
      <name val="Verdana"/>
      <family val="2"/>
      <charset val="238"/>
    </font>
    <font>
      <sz val="9"/>
      <name val="Verdana"/>
      <family val="2"/>
      <charset val="238"/>
    </font>
    <font>
      <sz val="7"/>
      <name val="Verdana"/>
      <family val="2"/>
      <charset val="238"/>
    </font>
    <font>
      <vertAlign val="subscript"/>
      <sz val="12"/>
      <name val="Cambria"/>
      <family val="1"/>
      <charset val="238"/>
    </font>
    <font>
      <u/>
      <sz val="9"/>
      <name val="Verdana"/>
      <family val="2"/>
      <charset val="238"/>
    </font>
    <font>
      <b/>
      <u/>
      <sz val="8"/>
      <name val="Cambria"/>
      <family val="1"/>
      <charset val="238"/>
    </font>
    <font>
      <b/>
      <u/>
      <sz val="7.5"/>
      <name val="Cambria"/>
      <family val="1"/>
      <charset val="238"/>
    </font>
    <font>
      <u/>
      <sz val="8"/>
      <color indexed="12"/>
      <name val="Arial CE"/>
      <family val="2"/>
      <charset val="238"/>
    </font>
    <font>
      <b/>
      <sz val="10"/>
      <color indexed="12"/>
      <name val="Cambria"/>
      <family val="1"/>
      <charset val="238"/>
    </font>
    <font>
      <b/>
      <vertAlign val="superscript"/>
      <sz val="10"/>
      <name val="Cambria"/>
      <family val="1"/>
      <charset val="238"/>
    </font>
    <font>
      <sz val="16"/>
      <name val="Cambria"/>
      <family val="1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3"/>
      <name val="Cambria"/>
      <family val="1"/>
      <charset val="238"/>
    </font>
    <font>
      <b/>
      <sz val="9"/>
      <name val="Cambria"/>
      <family val="1"/>
      <charset val="238"/>
    </font>
    <font>
      <b/>
      <sz val="6"/>
      <name val="Cambria"/>
      <family val="1"/>
      <charset val="238"/>
    </font>
    <font>
      <b/>
      <sz val="6"/>
      <name val="Arial CE"/>
      <family val="2"/>
      <charset val="238"/>
    </font>
    <font>
      <b/>
      <sz val="8.8000000000000007"/>
      <name val="Cambria"/>
      <family val="1"/>
      <charset val="238"/>
    </font>
    <font>
      <sz val="8.8000000000000007"/>
      <name val="Arial CE"/>
      <family val="2"/>
      <charset val="238"/>
    </font>
    <font>
      <b/>
      <sz val="6.85"/>
      <name val="Cambria"/>
      <family val="1"/>
      <charset val="238"/>
    </font>
    <font>
      <b/>
      <sz val="6.85"/>
      <name val="Arial CE"/>
      <family val="2"/>
      <charset val="238"/>
    </font>
    <font>
      <b/>
      <sz val="7.5"/>
      <name val="Cambria"/>
      <family val="1"/>
      <charset val="238"/>
    </font>
    <font>
      <u/>
      <sz val="8"/>
      <name val="Cambria"/>
      <family val="1"/>
      <charset val="238"/>
    </font>
    <font>
      <u/>
      <sz val="10"/>
      <name val="Arial CE"/>
      <charset val="238"/>
    </font>
    <font>
      <b/>
      <sz val="13"/>
      <name val="Arial CE"/>
      <charset val="238"/>
    </font>
    <font>
      <b/>
      <u/>
      <sz val="10"/>
      <name val="Cambria"/>
      <family val="1"/>
      <charset val="238"/>
    </font>
    <font>
      <b/>
      <u/>
      <sz val="12"/>
      <name val="Cambria"/>
      <family val="1"/>
      <charset val="238"/>
    </font>
    <font>
      <b/>
      <u/>
      <sz val="13"/>
      <name val="Cambria"/>
      <family val="1"/>
      <charset val="238"/>
    </font>
    <font>
      <b/>
      <u/>
      <sz val="16"/>
      <name val="Cambria"/>
      <family val="1"/>
      <charset val="238"/>
    </font>
    <font>
      <b/>
      <u/>
      <sz val="10"/>
      <name val="Verdana"/>
      <family val="2"/>
      <charset val="238"/>
    </font>
    <font>
      <b/>
      <sz val="9"/>
      <name val="Arial CE"/>
      <charset val="238"/>
    </font>
    <font>
      <b/>
      <sz val="7"/>
      <name val="Cambria"/>
      <family val="1"/>
      <charset val="238"/>
    </font>
    <font>
      <b/>
      <sz val="12"/>
      <name val="Arial CE"/>
      <charset val="238"/>
    </font>
    <font>
      <b/>
      <vertAlign val="superscript"/>
      <sz val="12"/>
      <name val="Cambria"/>
      <family val="1"/>
      <charset val="238"/>
    </font>
    <font>
      <sz val="12"/>
      <color rgb="FFFF0000"/>
      <name val="Verdana"/>
      <family val="2"/>
      <charset val="238"/>
    </font>
    <font>
      <b/>
      <sz val="8"/>
      <color rgb="FF00B0F0"/>
      <name val="Cambria"/>
      <family val="1"/>
      <charset val="238"/>
    </font>
    <font>
      <b/>
      <sz val="8"/>
      <color rgb="FF0070C0"/>
      <name val="Cambria"/>
      <family val="1"/>
      <charset val="238"/>
    </font>
    <font>
      <sz val="14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sz val="21"/>
      <name val="Cambria"/>
      <family val="1"/>
      <charset val="238"/>
      <scheme val="major"/>
    </font>
    <font>
      <sz val="10"/>
      <color rgb="FFFF0000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2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b/>
      <sz val="18"/>
      <name val="Cambria"/>
      <family val="1"/>
      <charset val="238"/>
      <scheme val="major"/>
    </font>
    <font>
      <sz val="8"/>
      <color rgb="FFFF0000"/>
      <name val="Cambria"/>
      <family val="1"/>
      <charset val="238"/>
    </font>
    <font>
      <b/>
      <sz val="8"/>
      <color rgb="FFFF0000"/>
      <name val="Cambria"/>
      <family val="1"/>
      <charset val="238"/>
    </font>
    <font>
      <b/>
      <sz val="9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  <font>
      <sz val="5"/>
      <name val="Cambria"/>
      <family val="1"/>
      <charset val="238"/>
      <scheme val="major"/>
    </font>
    <font>
      <b/>
      <sz val="8"/>
      <color rgb="FFFF0000"/>
      <name val="Verdana"/>
      <family val="2"/>
      <charset val="238"/>
    </font>
    <font>
      <u/>
      <sz val="8"/>
      <color indexed="12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8"/>
      <color rgb="FFFF0000"/>
      <name val="Arial CE"/>
      <charset val="238"/>
    </font>
    <font>
      <b/>
      <sz val="17"/>
      <name val="Cambria"/>
      <family val="1"/>
      <charset val="238"/>
      <scheme val="major"/>
    </font>
    <font>
      <sz val="7.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color rgb="FFFF0000"/>
      <name val="Arial CE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763">
    <xf numFmtId="0" fontId="0" fillId="0" borderId="0" xfId="0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0" fillId="0" borderId="0" xfId="0" applyFill="1"/>
    <xf numFmtId="0" fontId="0" fillId="0" borderId="1" xfId="0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0" fillId="0" borderId="0" xfId="0" applyFill="1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2" fillId="0" borderId="10" xfId="0" applyFont="1" applyBorder="1"/>
    <xf numFmtId="0" fontId="0" fillId="0" borderId="11" xfId="0" applyBorder="1"/>
    <xf numFmtId="0" fontId="0" fillId="2" borderId="1" xfId="0" applyFill="1" applyBorder="1"/>
    <xf numFmtId="0" fontId="0" fillId="0" borderId="0" xfId="0" applyAlignment="1">
      <alignment horizontal="right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3" borderId="1" xfId="0" applyFont="1" applyFill="1" applyBorder="1"/>
    <xf numFmtId="0" fontId="0" fillId="0" borderId="15" xfId="0" applyBorder="1"/>
    <xf numFmtId="164" fontId="0" fillId="0" borderId="15" xfId="0" applyNumberFormat="1" applyBorder="1"/>
    <xf numFmtId="0" fontId="0" fillId="0" borderId="16" xfId="0" applyBorder="1"/>
    <xf numFmtId="2" fontId="0" fillId="0" borderId="17" xfId="0" applyNumberFormat="1" applyBorder="1"/>
    <xf numFmtId="0" fontId="0" fillId="4" borderId="17" xfId="0" applyFill="1" applyBorder="1"/>
    <xf numFmtId="164" fontId="0" fillId="0" borderId="0" xfId="0" applyNumberFormat="1" applyBorder="1"/>
    <xf numFmtId="0" fontId="0" fillId="0" borderId="17" xfId="0" applyBorder="1"/>
    <xf numFmtId="164" fontId="0" fillId="0" borderId="18" xfId="0" applyNumberFormat="1" applyBorder="1"/>
    <xf numFmtId="0" fontId="0" fillId="0" borderId="19" xfId="0" applyBorder="1"/>
    <xf numFmtId="164" fontId="0" fillId="0" borderId="10" xfId="0" applyNumberFormat="1" applyBorder="1"/>
    <xf numFmtId="2" fontId="0" fillId="0" borderId="11" xfId="0" applyNumberFormat="1" applyBorder="1"/>
    <xf numFmtId="0" fontId="0" fillId="4" borderId="11" xfId="0" applyFill="1" applyBorder="1"/>
    <xf numFmtId="164" fontId="0" fillId="0" borderId="19" xfId="0" applyNumberForma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11" fillId="2" borderId="1" xfId="0" applyFont="1" applyFill="1" applyBorder="1"/>
    <xf numFmtId="0" fontId="9" fillId="0" borderId="0" xfId="0" applyFont="1" applyBorder="1"/>
    <xf numFmtId="0" fontId="11" fillId="0" borderId="0" xfId="0" applyFont="1" applyBorder="1"/>
    <xf numFmtId="164" fontId="11" fillId="0" borderId="0" xfId="0" applyNumberFormat="1" applyFont="1" applyBorder="1"/>
    <xf numFmtId="0" fontId="12" fillId="0" borderId="0" xfId="0" applyFont="1"/>
    <xf numFmtId="0" fontId="11" fillId="0" borderId="0" xfId="0" applyFont="1" applyAlignment="1">
      <alignment horizontal="right"/>
    </xf>
    <xf numFmtId="0" fontId="10" fillId="0" borderId="0" xfId="0" applyFont="1"/>
    <xf numFmtId="0" fontId="2" fillId="0" borderId="20" xfId="0" applyFont="1" applyBorder="1" applyAlignment="1">
      <alignment horizontal="left"/>
    </xf>
    <xf numFmtId="0" fontId="2" fillId="0" borderId="12" xfId="0" applyFont="1" applyBorder="1"/>
    <xf numFmtId="0" fontId="8" fillId="0" borderId="13" xfId="0" applyFont="1" applyBorder="1"/>
    <xf numFmtId="0" fontId="8" fillId="0" borderId="13" xfId="0" applyFont="1" applyFill="1" applyBorder="1"/>
    <xf numFmtId="0" fontId="8" fillId="0" borderId="14" xfId="0" applyFont="1" applyBorder="1"/>
    <xf numFmtId="164" fontId="0" fillId="0" borderId="18" xfId="0" applyNumberFormat="1" applyFill="1" applyBorder="1"/>
    <xf numFmtId="0" fontId="1" fillId="0" borderId="0" xfId="0" applyFont="1"/>
    <xf numFmtId="0" fontId="1" fillId="0" borderId="12" xfId="0" applyFont="1" applyBorder="1"/>
    <xf numFmtId="0" fontId="0" fillId="0" borderId="21" xfId="0" applyBorder="1"/>
    <xf numFmtId="0" fontId="2" fillId="0" borderId="18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164" fontId="0" fillId="0" borderId="0" xfId="0" applyNumberFormat="1" applyFill="1" applyBorder="1"/>
    <xf numFmtId="0" fontId="10" fillId="0" borderId="14" xfId="0" applyFont="1" applyFill="1" applyBorder="1"/>
    <xf numFmtId="0" fontId="10" fillId="0" borderId="21" xfId="0" applyFont="1" applyFill="1" applyBorder="1" applyAlignment="1">
      <alignment horizontal="left"/>
    </xf>
    <xf numFmtId="0" fontId="10" fillId="0" borderId="9" xfId="0" applyFont="1" applyBorder="1"/>
    <xf numFmtId="0" fontId="0" fillId="0" borderId="22" xfId="0" applyBorder="1"/>
    <xf numFmtId="0" fontId="0" fillId="0" borderId="23" xfId="0" applyBorder="1"/>
    <xf numFmtId="0" fontId="10" fillId="0" borderId="2" xfId="0" applyFont="1" applyFill="1" applyBorder="1"/>
    <xf numFmtId="0" fontId="0" fillId="0" borderId="24" xfId="0" applyBorder="1"/>
    <xf numFmtId="0" fontId="1" fillId="0" borderId="25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15" fillId="0" borderId="1" xfId="0" applyFont="1" applyFill="1" applyBorder="1"/>
    <xf numFmtId="0" fontId="16" fillId="0" borderId="25" xfId="0" applyFont="1" applyFill="1" applyBorder="1" applyAlignment="1">
      <alignment horizontal="left"/>
    </xf>
    <xf numFmtId="0" fontId="17" fillId="0" borderId="25" xfId="0" applyFont="1" applyFill="1" applyBorder="1" applyAlignment="1">
      <alignment horizontal="left"/>
    </xf>
    <xf numFmtId="0" fontId="16" fillId="2" borderId="2" xfId="0" applyFont="1" applyFill="1" applyBorder="1"/>
    <xf numFmtId="0" fontId="16" fillId="5" borderId="2" xfId="0" applyFont="1" applyFill="1" applyBorder="1"/>
    <xf numFmtId="0" fontId="2" fillId="5" borderId="2" xfId="0" applyFont="1" applyFill="1" applyBorder="1"/>
    <xf numFmtId="0" fontId="2" fillId="2" borderId="2" xfId="0" applyFont="1" applyFill="1" applyBorder="1"/>
    <xf numFmtId="0" fontId="2" fillId="0" borderId="26" xfId="0" applyFont="1" applyBorder="1"/>
    <xf numFmtId="0" fontId="10" fillId="0" borderId="21" xfId="0" applyFont="1" applyBorder="1"/>
    <xf numFmtId="0" fontId="1" fillId="2" borderId="1" xfId="0" applyFont="1" applyFill="1" applyBorder="1"/>
    <xf numFmtId="2" fontId="11" fillId="0" borderId="12" xfId="0" applyNumberFormat="1" applyFont="1" applyBorder="1"/>
    <xf numFmtId="2" fontId="11" fillId="0" borderId="1" xfId="0" applyNumberFormat="1" applyFont="1" applyBorder="1"/>
    <xf numFmtId="0" fontId="2" fillId="0" borderId="0" xfId="0" applyFont="1" applyBorder="1" applyAlignment="1">
      <alignment horizontal="left"/>
    </xf>
    <xf numFmtId="0" fontId="8" fillId="0" borderId="0" xfId="0" applyFont="1" applyBorder="1"/>
    <xf numFmtId="2" fontId="0" fillId="0" borderId="0" xfId="0" applyNumberFormat="1" applyBorder="1"/>
    <xf numFmtId="1" fontId="0" fillId="0" borderId="0" xfId="0" applyNumberFormat="1" applyFill="1" applyBorder="1"/>
    <xf numFmtId="0" fontId="0" fillId="0" borderId="17" xfId="0" applyFill="1" applyBorder="1"/>
    <xf numFmtId="0" fontId="10" fillId="0" borderId="0" xfId="0" applyFont="1" applyFill="1"/>
    <xf numFmtId="0" fontId="21" fillId="0" borderId="0" xfId="0" applyFont="1"/>
    <xf numFmtId="0" fontId="22" fillId="0" borderId="0" xfId="0" applyFont="1" applyBorder="1"/>
    <xf numFmtId="0" fontId="10" fillId="0" borderId="0" xfId="0" applyFont="1" applyBorder="1" applyAlignment="1">
      <alignment horizontal="left"/>
    </xf>
    <xf numFmtId="164" fontId="0" fillId="6" borderId="20" xfId="0" applyNumberFormat="1" applyFill="1" applyBorder="1"/>
    <xf numFmtId="164" fontId="0" fillId="6" borderId="21" xfId="0" applyNumberFormat="1" applyFill="1" applyBorder="1"/>
    <xf numFmtId="164" fontId="0" fillId="6" borderId="1" xfId="0" applyNumberFormat="1" applyFill="1" applyBorder="1"/>
    <xf numFmtId="164" fontId="0" fillId="7" borderId="20" xfId="0" applyNumberFormat="1" applyFill="1" applyBorder="1"/>
    <xf numFmtId="164" fontId="0" fillId="6" borderId="12" xfId="0" applyNumberFormat="1" applyFill="1" applyBorder="1"/>
    <xf numFmtId="0" fontId="10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Border="1"/>
    <xf numFmtId="0" fontId="10" fillId="0" borderId="8" xfId="0" applyFont="1" applyBorder="1"/>
    <xf numFmtId="14" fontId="10" fillId="0" borderId="9" xfId="0" applyNumberFormat="1" applyFont="1" applyBorder="1"/>
    <xf numFmtId="14" fontId="0" fillId="0" borderId="0" xfId="0" applyNumberFormat="1"/>
    <xf numFmtId="14" fontId="24" fillId="0" borderId="0" xfId="0" applyNumberFormat="1" applyFont="1"/>
    <xf numFmtId="164" fontId="10" fillId="6" borderId="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64" fontId="10" fillId="0" borderId="0" xfId="0" applyNumberFormat="1" applyFont="1" applyFill="1" applyBorder="1" applyAlignment="1">
      <alignment horizontal="left"/>
    </xf>
    <xf numFmtId="0" fontId="25" fillId="0" borderId="0" xfId="0" applyFont="1"/>
    <xf numFmtId="0" fontId="20" fillId="0" borderId="0" xfId="0" applyFont="1"/>
    <xf numFmtId="0" fontId="2" fillId="0" borderId="27" xfId="0" applyFont="1" applyFill="1" applyBorder="1"/>
    <xf numFmtId="0" fontId="2" fillId="0" borderId="25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30" xfId="0" applyFont="1" applyFill="1" applyBorder="1"/>
    <xf numFmtId="0" fontId="2" fillId="0" borderId="31" xfId="0" applyFont="1" applyFill="1" applyBorder="1"/>
    <xf numFmtId="164" fontId="0" fillId="8" borderId="0" xfId="0" applyNumberFormat="1" applyFill="1" applyBorder="1"/>
    <xf numFmtId="164" fontId="0" fillId="8" borderId="20" xfId="0" applyNumberFormat="1" applyFill="1" applyBorder="1"/>
    <xf numFmtId="164" fontId="0" fillId="8" borderId="15" xfId="0" applyNumberFormat="1" applyFill="1" applyBorder="1"/>
    <xf numFmtId="164" fontId="0" fillId="8" borderId="16" xfId="0" applyNumberFormat="1" applyFill="1" applyBorder="1"/>
    <xf numFmtId="164" fontId="0" fillId="8" borderId="18" xfId="0" applyNumberFormat="1" applyFill="1" applyBorder="1"/>
    <xf numFmtId="164" fontId="0" fillId="8" borderId="17" xfId="0" applyNumberFormat="1" applyFill="1" applyBorder="1"/>
    <xf numFmtId="164" fontId="0" fillId="8" borderId="10" xfId="0" applyNumberFormat="1" applyFill="1" applyBorder="1"/>
    <xf numFmtId="164" fontId="0" fillId="8" borderId="19" xfId="0" applyNumberFormat="1" applyFill="1" applyBorder="1"/>
    <xf numFmtId="164" fontId="0" fillId="8" borderId="11" xfId="0" applyNumberFormat="1" applyFill="1" applyBorder="1"/>
    <xf numFmtId="164" fontId="0" fillId="7" borderId="0" xfId="0" applyNumberFormat="1" applyFill="1" applyBorder="1"/>
    <xf numFmtId="164" fontId="0" fillId="7" borderId="15" xfId="0" applyNumberFormat="1" applyFill="1" applyBorder="1"/>
    <xf numFmtId="164" fontId="0" fillId="7" borderId="16" xfId="0" applyNumberFormat="1" applyFill="1" applyBorder="1"/>
    <xf numFmtId="164" fontId="0" fillId="7" borderId="18" xfId="0" applyNumberFormat="1" applyFill="1" applyBorder="1"/>
    <xf numFmtId="164" fontId="0" fillId="7" borderId="17" xfId="0" applyNumberFormat="1" applyFill="1" applyBorder="1"/>
    <xf numFmtId="164" fontId="0" fillId="7" borderId="10" xfId="0" applyNumberFormat="1" applyFill="1" applyBorder="1"/>
    <xf numFmtId="164" fontId="0" fillId="7" borderId="19" xfId="0" applyNumberFormat="1" applyFill="1" applyBorder="1"/>
    <xf numFmtId="164" fontId="0" fillId="7" borderId="11" xfId="0" applyNumberFormat="1" applyFill="1" applyBorder="1"/>
    <xf numFmtId="164" fontId="0" fillId="6" borderId="0" xfId="0" applyNumberFormat="1" applyFill="1" applyBorder="1"/>
    <xf numFmtId="164" fontId="0" fillId="6" borderId="15" xfId="0" applyNumberFormat="1" applyFill="1" applyBorder="1"/>
    <xf numFmtId="164" fontId="0" fillId="6" borderId="16" xfId="0" applyNumberFormat="1" applyFill="1" applyBorder="1"/>
    <xf numFmtId="164" fontId="0" fillId="6" borderId="18" xfId="0" applyNumberFormat="1" applyFill="1" applyBorder="1"/>
    <xf numFmtId="164" fontId="0" fillId="6" borderId="17" xfId="0" applyNumberFormat="1" applyFill="1" applyBorder="1"/>
    <xf numFmtId="164" fontId="0" fillId="6" borderId="10" xfId="0" applyNumberFormat="1" applyFill="1" applyBorder="1"/>
    <xf numFmtId="164" fontId="0" fillId="6" borderId="19" xfId="0" applyNumberFormat="1" applyFill="1" applyBorder="1"/>
    <xf numFmtId="164" fontId="0" fillId="6" borderId="11" xfId="0" applyNumberFormat="1" applyFill="1" applyBorder="1"/>
    <xf numFmtId="1" fontId="0" fillId="9" borderId="29" xfId="0" applyNumberFormat="1" applyFill="1" applyBorder="1"/>
    <xf numFmtId="1" fontId="0" fillId="9" borderId="32" xfId="0" applyNumberFormat="1" applyFill="1" applyBorder="1"/>
    <xf numFmtId="1" fontId="0" fillId="9" borderId="16" xfId="0" applyNumberFormat="1" applyFill="1" applyBorder="1"/>
    <xf numFmtId="1" fontId="0" fillId="9" borderId="4" xfId="0" applyNumberFormat="1" applyFill="1" applyBorder="1"/>
    <xf numFmtId="1" fontId="0" fillId="9" borderId="33" xfId="0" applyNumberFormat="1" applyFill="1" applyBorder="1"/>
    <xf numFmtId="1" fontId="0" fillId="9" borderId="9" xfId="0" applyNumberFormat="1" applyFill="1" applyBorder="1"/>
    <xf numFmtId="1" fontId="0" fillId="9" borderId="34" xfId="0" applyNumberFormat="1" applyFill="1" applyBorder="1"/>
    <xf numFmtId="1" fontId="0" fillId="9" borderId="35" xfId="0" applyNumberFormat="1" applyFill="1" applyBorder="1"/>
    <xf numFmtId="1" fontId="0" fillId="9" borderId="11" xfId="0" applyNumberFormat="1" applyFill="1" applyBorder="1"/>
    <xf numFmtId="1" fontId="0" fillId="9" borderId="36" xfId="0" applyNumberFormat="1" applyFill="1" applyBorder="1"/>
    <xf numFmtId="1" fontId="0" fillId="9" borderId="37" xfId="0" applyNumberFormat="1" applyFill="1" applyBorder="1"/>
    <xf numFmtId="1" fontId="0" fillId="9" borderId="22" xfId="0" applyNumberFormat="1" applyFill="1" applyBorder="1"/>
    <xf numFmtId="0" fontId="28" fillId="0" borderId="21" xfId="0" applyFont="1" applyBorder="1"/>
    <xf numFmtId="0" fontId="15" fillId="9" borderId="1" xfId="0" applyFont="1" applyFill="1" applyBorder="1"/>
    <xf numFmtId="0" fontId="25" fillId="9" borderId="1" xfId="0" applyFont="1" applyFill="1" applyBorder="1" applyAlignment="1">
      <alignment horizontal="center"/>
    </xf>
    <xf numFmtId="164" fontId="0" fillId="9" borderId="0" xfId="0" applyNumberForma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0" fillId="9" borderId="12" xfId="0" applyFont="1" applyFill="1" applyBorder="1"/>
    <xf numFmtId="0" fontId="25" fillId="9" borderId="12" xfId="0" applyFont="1" applyFill="1" applyBorder="1" applyAlignment="1">
      <alignment horizontal="center"/>
    </xf>
    <xf numFmtId="0" fontId="25" fillId="9" borderId="12" xfId="0" applyFont="1" applyFill="1" applyBorder="1"/>
    <xf numFmtId="0" fontId="26" fillId="9" borderId="12" xfId="0" applyFont="1" applyFill="1" applyBorder="1"/>
    <xf numFmtId="164" fontId="10" fillId="9" borderId="14" xfId="0" applyNumberFormat="1" applyFont="1" applyFill="1" applyBorder="1" applyAlignment="1">
      <alignment horizontal="center"/>
    </xf>
    <xf numFmtId="1" fontId="10" fillId="9" borderId="14" xfId="0" applyNumberFormat="1" applyFont="1" applyFill="1" applyBorder="1" applyAlignment="1">
      <alignment horizontal="center"/>
    </xf>
    <xf numFmtId="164" fontId="10" fillId="9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2" fillId="0" borderId="1" xfId="0" applyFont="1" applyBorder="1"/>
    <xf numFmtId="1" fontId="2" fillId="0" borderId="21" xfId="0" applyNumberFormat="1" applyFont="1" applyBorder="1"/>
    <xf numFmtId="1" fontId="2" fillId="0" borderId="8" xfId="0" applyNumberFormat="1" applyFont="1" applyBorder="1"/>
    <xf numFmtId="1" fontId="2" fillId="0" borderId="9" xfId="0" applyNumberFormat="1" applyFont="1" applyBorder="1"/>
    <xf numFmtId="0" fontId="2" fillId="0" borderId="13" xfId="0" applyFont="1" applyBorder="1"/>
    <xf numFmtId="1" fontId="0" fillId="0" borderId="17" xfId="0" applyNumberFormat="1" applyBorder="1"/>
    <xf numFmtId="0" fontId="2" fillId="0" borderId="14" xfId="0" applyFont="1" applyBorder="1"/>
    <xf numFmtId="164" fontId="2" fillId="0" borderId="12" xfId="0" applyNumberFormat="1" applyFont="1" applyBorder="1"/>
    <xf numFmtId="1" fontId="0" fillId="0" borderId="20" xfId="0" applyNumberFormat="1" applyFill="1" applyBorder="1"/>
    <xf numFmtId="1" fontId="0" fillId="0" borderId="15" xfId="0" applyNumberFormat="1" applyFill="1" applyBorder="1"/>
    <xf numFmtId="1" fontId="0" fillId="0" borderId="16" xfId="0" applyNumberFormat="1" applyBorder="1"/>
    <xf numFmtId="1" fontId="0" fillId="0" borderId="18" xfId="0" applyNumberFormat="1" applyFill="1" applyBorder="1"/>
    <xf numFmtId="1" fontId="0" fillId="2" borderId="0" xfId="0" applyNumberFormat="1" applyFill="1" applyBorder="1"/>
    <xf numFmtId="0" fontId="10" fillId="0" borderId="13" xfId="0" applyFont="1" applyBorder="1"/>
    <xf numFmtId="1" fontId="0" fillId="0" borderId="10" xfId="0" applyNumberFormat="1" applyFill="1" applyBorder="1"/>
    <xf numFmtId="1" fontId="0" fillId="0" borderId="19" xfId="0" applyNumberFormat="1" applyFill="1" applyBorder="1"/>
    <xf numFmtId="1" fontId="0" fillId="0" borderId="11" xfId="0" applyNumberFormat="1" applyFill="1" applyBorder="1"/>
    <xf numFmtId="0" fontId="29" fillId="0" borderId="0" xfId="0" applyFont="1" applyAlignment="1">
      <alignment horizontal="left"/>
    </xf>
    <xf numFmtId="0" fontId="30" fillId="0" borderId="0" xfId="0" applyFont="1"/>
    <xf numFmtId="1" fontId="31" fillId="0" borderId="0" xfId="0" applyNumberFormat="1" applyFont="1"/>
    <xf numFmtId="1" fontId="8" fillId="0" borderId="0" xfId="0" applyNumberFormat="1" applyFont="1"/>
    <xf numFmtId="1" fontId="32" fillId="0" borderId="0" xfId="0" applyNumberFormat="1" applyFont="1"/>
    <xf numFmtId="1" fontId="0" fillId="0" borderId="0" xfId="0" applyNumberFormat="1"/>
    <xf numFmtId="1" fontId="2" fillId="0" borderId="0" xfId="0" applyNumberFormat="1" applyFont="1"/>
    <xf numFmtId="164" fontId="2" fillId="0" borderId="13" xfId="0" applyNumberFormat="1" applyFont="1" applyBorder="1"/>
    <xf numFmtId="1" fontId="0" fillId="0" borderId="20" xfId="0" applyNumberFormat="1" applyBorder="1"/>
    <xf numFmtId="1" fontId="0" fillId="0" borderId="15" xfId="0" applyNumberFormat="1" applyBorder="1"/>
    <xf numFmtId="1" fontId="0" fillId="0" borderId="18" xfId="0" applyNumberFormat="1" applyBorder="1"/>
    <xf numFmtId="1" fontId="0" fillId="0" borderId="0" xfId="0" applyNumberFormat="1" applyBorder="1"/>
    <xf numFmtId="0" fontId="2" fillId="0" borderId="20" xfId="0" applyFont="1" applyBorder="1"/>
    <xf numFmtId="1" fontId="33" fillId="0" borderId="20" xfId="0" applyNumberFormat="1" applyFont="1" applyFill="1" applyBorder="1"/>
    <xf numFmtId="1" fontId="33" fillId="0" borderId="15" xfId="0" applyNumberFormat="1" applyFont="1" applyFill="1" applyBorder="1"/>
    <xf numFmtId="1" fontId="33" fillId="0" borderId="16" xfId="0" applyNumberFormat="1" applyFont="1" applyFill="1" applyBorder="1"/>
    <xf numFmtId="1" fontId="33" fillId="0" borderId="10" xfId="0" applyNumberFormat="1" applyFont="1" applyFill="1" applyBorder="1"/>
    <xf numFmtId="1" fontId="33" fillId="0" borderId="19" xfId="0" applyNumberFormat="1" applyFont="1" applyFill="1" applyBorder="1"/>
    <xf numFmtId="1" fontId="33" fillId="0" borderId="11" xfId="0" applyNumberFormat="1" applyFont="1" applyFill="1" applyBorder="1"/>
    <xf numFmtId="0" fontId="2" fillId="0" borderId="18" xfId="0" applyFont="1" applyBorder="1"/>
    <xf numFmtId="1" fontId="0" fillId="0" borderId="10" xfId="0" applyNumberFormat="1" applyBorder="1"/>
    <xf numFmtId="1" fontId="0" fillId="0" borderId="19" xfId="0" applyNumberFormat="1" applyBorder="1"/>
    <xf numFmtId="1" fontId="0" fillId="0" borderId="11" xfId="0" applyNumberFormat="1" applyBorder="1"/>
    <xf numFmtId="1" fontId="33" fillId="0" borderId="18" xfId="0" applyNumberFormat="1" applyFont="1" applyFill="1" applyBorder="1"/>
    <xf numFmtId="1" fontId="33" fillId="0" borderId="0" xfId="0" applyNumberFormat="1" applyFont="1" applyFill="1" applyBorder="1"/>
    <xf numFmtId="1" fontId="33" fillId="0" borderId="17" xfId="0" applyNumberFormat="1" applyFont="1" applyFill="1" applyBorder="1"/>
    <xf numFmtId="1" fontId="33" fillId="0" borderId="8" xfId="0" applyNumberFormat="1" applyFont="1" applyFill="1" applyBorder="1"/>
    <xf numFmtId="0" fontId="2" fillId="0" borderId="14" xfId="0" applyFont="1" applyFill="1" applyBorder="1"/>
    <xf numFmtId="0" fontId="2" fillId="0" borderId="0" xfId="0" applyFont="1" applyBorder="1"/>
    <xf numFmtId="1" fontId="21" fillId="0" borderId="10" xfId="0" applyNumberFormat="1" applyFont="1" applyBorder="1"/>
    <xf numFmtId="1" fontId="21" fillId="0" borderId="19" xfId="0" applyNumberFormat="1" applyFont="1" applyBorder="1"/>
    <xf numFmtId="1" fontId="21" fillId="0" borderId="11" xfId="0" applyNumberFormat="1" applyFont="1" applyBorder="1"/>
    <xf numFmtId="1" fontId="33" fillId="0" borderId="21" xfId="0" applyNumberFormat="1" applyFont="1" applyFill="1" applyBorder="1"/>
    <xf numFmtId="1" fontId="33" fillId="0" borderId="9" xfId="0" applyNumberFormat="1" applyFont="1" applyFill="1" applyBorder="1"/>
    <xf numFmtId="1" fontId="33" fillId="0" borderId="21" xfId="0" applyNumberFormat="1" applyFont="1" applyBorder="1"/>
    <xf numFmtId="1" fontId="33" fillId="0" borderId="20" xfId="0" applyNumberFormat="1" applyFont="1" applyBorder="1"/>
    <xf numFmtId="1" fontId="33" fillId="0" borderId="18" xfId="0" applyNumberFormat="1" applyFont="1" applyBorder="1"/>
    <xf numFmtId="1" fontId="33" fillId="0" borderId="10" xfId="0" applyNumberFormat="1" applyFont="1" applyBorder="1"/>
    <xf numFmtId="1" fontId="33" fillId="0" borderId="0" xfId="0" applyNumberFormat="1" applyFont="1" applyBorder="1"/>
    <xf numFmtId="1" fontId="33" fillId="0" borderId="17" xfId="0" applyNumberFormat="1" applyFont="1" applyBorder="1"/>
    <xf numFmtId="1" fontId="33" fillId="0" borderId="19" xfId="0" applyNumberFormat="1" applyFont="1" applyBorder="1"/>
    <xf numFmtId="1" fontId="33" fillId="0" borderId="11" xfId="0" applyNumberFormat="1" applyFont="1" applyBorder="1"/>
    <xf numFmtId="3" fontId="0" fillId="2" borderId="12" xfId="0" applyNumberFormat="1" applyFill="1" applyBorder="1"/>
    <xf numFmtId="3" fontId="0" fillId="2" borderId="1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2" fillId="3" borderId="1" xfId="0" applyNumberFormat="1" applyFont="1" applyFill="1" applyBorder="1"/>
    <xf numFmtId="3" fontId="0" fillId="4" borderId="20" xfId="0" applyNumberFormat="1" applyFill="1" applyBorder="1"/>
    <xf numFmtId="3" fontId="0" fillId="4" borderId="18" xfId="0" applyNumberFormat="1" applyFill="1" applyBorder="1"/>
    <xf numFmtId="3" fontId="0" fillId="4" borderId="10" xfId="0" applyNumberFormat="1" applyFill="1" applyBorder="1"/>
    <xf numFmtId="164" fontId="0" fillId="0" borderId="20" xfId="0" applyNumberFormat="1" applyBorder="1"/>
    <xf numFmtId="0" fontId="34" fillId="0" borderId="0" xfId="0" applyFont="1"/>
    <xf numFmtId="0" fontId="35" fillId="0" borderId="0" xfId="0" applyFont="1" applyAlignment="1" applyProtection="1">
      <protection hidden="1"/>
    </xf>
    <xf numFmtId="0" fontId="35" fillId="0" borderId="0" xfId="0" applyFont="1" applyFill="1" applyBorder="1" applyAlignment="1" applyProtection="1">
      <protection hidden="1"/>
    </xf>
    <xf numFmtId="0" fontId="36" fillId="0" borderId="0" xfId="0" applyFont="1" applyFill="1" applyBorder="1" applyAlignment="1" applyProtection="1">
      <protection hidden="1"/>
    </xf>
    <xf numFmtId="0" fontId="37" fillId="0" borderId="0" xfId="0" applyFont="1" applyAlignment="1" applyProtection="1">
      <protection hidden="1"/>
    </xf>
    <xf numFmtId="1" fontId="35" fillId="0" borderId="0" xfId="0" applyNumberFormat="1" applyFont="1" applyFill="1" applyBorder="1" applyAlignment="1" applyProtection="1">
      <protection hidden="1"/>
    </xf>
    <xf numFmtId="0" fontId="35" fillId="0" borderId="0" xfId="0" applyFont="1" applyFill="1" applyAlignment="1" applyProtection="1">
      <protection hidden="1"/>
    </xf>
    <xf numFmtId="1" fontId="36" fillId="0" borderId="21" xfId="0" applyNumberFormat="1" applyFont="1" applyBorder="1" applyAlignment="1" applyProtection="1">
      <protection hidden="1"/>
    </xf>
    <xf numFmtId="1" fontId="36" fillId="0" borderId="8" xfId="0" applyNumberFormat="1" applyFont="1" applyBorder="1" applyAlignment="1" applyProtection="1">
      <protection hidden="1"/>
    </xf>
    <xf numFmtId="1" fontId="36" fillId="0" borderId="9" xfId="0" applyNumberFormat="1" applyFont="1" applyBorder="1" applyAlignment="1" applyProtection="1">
      <protection hidden="1"/>
    </xf>
    <xf numFmtId="164" fontId="36" fillId="0" borderId="12" xfId="0" applyNumberFormat="1" applyFont="1" applyBorder="1" applyAlignment="1" applyProtection="1">
      <protection hidden="1"/>
    </xf>
    <xf numFmtId="1" fontId="35" fillId="0" borderId="18" xfId="0" applyNumberFormat="1" applyFont="1" applyFill="1" applyBorder="1" applyAlignment="1" applyProtection="1">
      <protection hidden="1"/>
    </xf>
    <xf numFmtId="1" fontId="35" fillId="10" borderId="0" xfId="0" applyNumberFormat="1" applyFont="1" applyFill="1" applyBorder="1" applyAlignment="1" applyProtection="1">
      <protection hidden="1"/>
    </xf>
    <xf numFmtId="1" fontId="35" fillId="0" borderId="17" xfId="0" applyNumberFormat="1" applyFont="1" applyBorder="1" applyAlignment="1" applyProtection="1">
      <protection hidden="1"/>
    </xf>
    <xf numFmtId="0" fontId="36" fillId="0" borderId="13" xfId="0" applyFont="1" applyBorder="1" applyAlignment="1" applyProtection="1">
      <protection hidden="1"/>
    </xf>
    <xf numFmtId="0" fontId="36" fillId="0" borderId="14" xfId="0" applyFont="1" applyBorder="1" applyAlignment="1" applyProtection="1">
      <protection hidden="1"/>
    </xf>
    <xf numFmtId="1" fontId="35" fillId="0" borderId="10" xfId="0" applyNumberFormat="1" applyFont="1" applyFill="1" applyBorder="1" applyAlignment="1" applyProtection="1">
      <protection hidden="1"/>
    </xf>
    <xf numFmtId="1" fontId="35" fillId="0" borderId="19" xfId="0" applyNumberFormat="1" applyFont="1" applyFill="1" applyBorder="1" applyAlignment="1" applyProtection="1">
      <protection hidden="1"/>
    </xf>
    <xf numFmtId="1" fontId="35" fillId="10" borderId="19" xfId="0" applyNumberFormat="1" applyFont="1" applyFill="1" applyBorder="1" applyAlignment="1" applyProtection="1">
      <protection hidden="1"/>
    </xf>
    <xf numFmtId="1" fontId="35" fillId="0" borderId="11" xfId="0" applyNumberFormat="1" applyFont="1" applyBorder="1" applyAlignment="1" applyProtection="1">
      <protection hidden="1"/>
    </xf>
    <xf numFmtId="0" fontId="36" fillId="0" borderId="0" xfId="0" applyFont="1" applyFill="1" applyAlignment="1" applyProtection="1">
      <protection hidden="1"/>
    </xf>
    <xf numFmtId="0" fontId="36" fillId="0" borderId="29" xfId="0" applyFont="1" applyFill="1" applyBorder="1" applyAlignment="1" applyProtection="1">
      <protection hidden="1"/>
    </xf>
    <xf numFmtId="0" fontId="36" fillId="0" borderId="30" xfId="0" applyFont="1" applyFill="1" applyBorder="1" applyAlignment="1" applyProtection="1">
      <protection hidden="1"/>
    </xf>
    <xf numFmtId="0" fontId="36" fillId="0" borderId="31" xfId="0" applyFont="1" applyFill="1" applyBorder="1" applyAlignment="1" applyProtection="1">
      <protection hidden="1"/>
    </xf>
    <xf numFmtId="0" fontId="36" fillId="0" borderId="27" xfId="0" applyFont="1" applyFill="1" applyBorder="1" applyAlignment="1" applyProtection="1">
      <protection hidden="1"/>
    </xf>
    <xf numFmtId="164" fontId="35" fillId="8" borderId="20" xfId="0" applyNumberFormat="1" applyFont="1" applyFill="1" applyBorder="1" applyAlignment="1" applyProtection="1">
      <protection hidden="1"/>
    </xf>
    <xf numFmtId="164" fontId="35" fillId="8" borderId="15" xfId="0" applyNumberFormat="1" applyFont="1" applyFill="1" applyBorder="1" applyAlignment="1" applyProtection="1">
      <protection hidden="1"/>
    </xf>
    <xf numFmtId="164" fontId="35" fillId="8" borderId="16" xfId="0" applyNumberFormat="1" applyFont="1" applyFill="1" applyBorder="1" applyAlignment="1" applyProtection="1">
      <protection hidden="1"/>
    </xf>
    <xf numFmtId="0" fontId="36" fillId="0" borderId="25" xfId="0" applyFont="1" applyFill="1" applyBorder="1" applyAlignment="1" applyProtection="1">
      <protection hidden="1"/>
    </xf>
    <xf numFmtId="164" fontId="35" fillId="8" borderId="18" xfId="0" applyNumberFormat="1" applyFont="1" applyFill="1" applyBorder="1" applyAlignment="1" applyProtection="1">
      <protection hidden="1"/>
    </xf>
    <xf numFmtId="164" fontId="35" fillId="8" borderId="0" xfId="0" applyNumberFormat="1" applyFont="1" applyFill="1" applyBorder="1" applyAlignment="1" applyProtection="1">
      <protection hidden="1"/>
    </xf>
    <xf numFmtId="164" fontId="35" fillId="8" borderId="17" xfId="0" applyNumberFormat="1" applyFont="1" applyFill="1" applyBorder="1" applyAlignment="1" applyProtection="1">
      <protection hidden="1"/>
    </xf>
    <xf numFmtId="0" fontId="36" fillId="0" borderId="28" xfId="0" applyFont="1" applyFill="1" applyBorder="1" applyAlignment="1" applyProtection="1">
      <protection hidden="1"/>
    </xf>
    <xf numFmtId="164" fontId="35" fillId="8" borderId="10" xfId="0" applyNumberFormat="1" applyFont="1" applyFill="1" applyBorder="1" applyAlignment="1" applyProtection="1">
      <protection hidden="1"/>
    </xf>
    <xf numFmtId="164" fontId="35" fillId="8" borderId="19" xfId="0" applyNumberFormat="1" applyFont="1" applyFill="1" applyBorder="1" applyAlignment="1" applyProtection="1">
      <protection hidden="1"/>
    </xf>
    <xf numFmtId="164" fontId="35" fillId="8" borderId="11" xfId="0" applyNumberFormat="1" applyFont="1" applyFill="1" applyBorder="1" applyAlignment="1" applyProtection="1">
      <protection hidden="1"/>
    </xf>
    <xf numFmtId="164" fontId="35" fillId="7" borderId="20" xfId="0" applyNumberFormat="1" applyFont="1" applyFill="1" applyBorder="1" applyAlignment="1" applyProtection="1">
      <protection hidden="1"/>
    </xf>
    <xf numFmtId="164" fontId="35" fillId="7" borderId="15" xfId="0" applyNumberFormat="1" applyFont="1" applyFill="1" applyBorder="1" applyAlignment="1" applyProtection="1">
      <protection hidden="1"/>
    </xf>
    <xf numFmtId="164" fontId="35" fillId="7" borderId="16" xfId="0" applyNumberFormat="1" applyFont="1" applyFill="1" applyBorder="1" applyAlignment="1" applyProtection="1">
      <protection hidden="1"/>
    </xf>
    <xf numFmtId="164" fontId="35" fillId="7" borderId="18" xfId="0" applyNumberFormat="1" applyFont="1" applyFill="1" applyBorder="1" applyAlignment="1" applyProtection="1">
      <protection hidden="1"/>
    </xf>
    <xf numFmtId="164" fontId="35" fillId="7" borderId="0" xfId="0" applyNumberFormat="1" applyFont="1" applyFill="1" applyBorder="1" applyAlignment="1" applyProtection="1">
      <protection hidden="1"/>
    </xf>
    <xf numFmtId="164" fontId="35" fillId="7" borderId="17" xfId="0" applyNumberFormat="1" applyFont="1" applyFill="1" applyBorder="1" applyAlignment="1" applyProtection="1">
      <protection hidden="1"/>
    </xf>
    <xf numFmtId="164" fontId="35" fillId="7" borderId="10" xfId="0" applyNumberFormat="1" applyFont="1" applyFill="1" applyBorder="1" applyAlignment="1" applyProtection="1">
      <protection hidden="1"/>
    </xf>
    <xf numFmtId="164" fontId="35" fillId="7" borderId="19" xfId="0" applyNumberFormat="1" applyFont="1" applyFill="1" applyBorder="1" applyAlignment="1" applyProtection="1">
      <protection hidden="1"/>
    </xf>
    <xf numFmtId="164" fontId="35" fillId="7" borderId="11" xfId="0" applyNumberFormat="1" applyFont="1" applyFill="1" applyBorder="1" applyAlignment="1" applyProtection="1">
      <protection hidden="1"/>
    </xf>
    <xf numFmtId="164" fontId="35" fillId="6" borderId="20" xfId="0" applyNumberFormat="1" applyFont="1" applyFill="1" applyBorder="1" applyAlignment="1" applyProtection="1">
      <protection hidden="1"/>
    </xf>
    <xf numFmtId="164" fontId="35" fillId="6" borderId="15" xfId="0" applyNumberFormat="1" applyFont="1" applyFill="1" applyBorder="1" applyAlignment="1" applyProtection="1">
      <protection hidden="1"/>
    </xf>
    <xf numFmtId="164" fontId="35" fillId="6" borderId="16" xfId="0" applyNumberFormat="1" applyFont="1" applyFill="1" applyBorder="1" applyAlignment="1" applyProtection="1">
      <protection hidden="1"/>
    </xf>
    <xf numFmtId="164" fontId="35" fillId="6" borderId="18" xfId="0" applyNumberFormat="1" applyFont="1" applyFill="1" applyBorder="1" applyAlignment="1" applyProtection="1">
      <protection hidden="1"/>
    </xf>
    <xf numFmtId="164" fontId="35" fillId="6" borderId="0" xfId="0" applyNumberFormat="1" applyFont="1" applyFill="1" applyBorder="1" applyAlignment="1" applyProtection="1">
      <protection hidden="1"/>
    </xf>
    <xf numFmtId="164" fontId="35" fillId="6" borderId="17" xfId="0" applyNumberFormat="1" applyFont="1" applyFill="1" applyBorder="1" applyAlignment="1" applyProtection="1">
      <protection hidden="1"/>
    </xf>
    <xf numFmtId="164" fontId="35" fillId="6" borderId="10" xfId="0" applyNumberFormat="1" applyFont="1" applyFill="1" applyBorder="1" applyAlignment="1" applyProtection="1">
      <protection hidden="1"/>
    </xf>
    <xf numFmtId="164" fontId="35" fillId="6" borderId="19" xfId="0" applyNumberFormat="1" applyFont="1" applyFill="1" applyBorder="1" applyAlignment="1" applyProtection="1">
      <protection hidden="1"/>
    </xf>
    <xf numFmtId="164" fontId="35" fillId="6" borderId="11" xfId="0" applyNumberFormat="1" applyFont="1" applyFill="1" applyBorder="1" applyAlignment="1" applyProtection="1">
      <protection hidden="1"/>
    </xf>
    <xf numFmtId="164" fontId="35" fillId="0" borderId="0" xfId="0" applyNumberFormat="1" applyFont="1" applyFill="1" applyBorder="1" applyAlignment="1" applyProtection="1">
      <protection hidden="1"/>
    </xf>
    <xf numFmtId="0" fontId="38" fillId="0" borderId="0" xfId="0" applyFont="1" applyFill="1" applyAlignment="1" applyProtection="1">
      <protection hidden="1"/>
    </xf>
    <xf numFmtId="3" fontId="36" fillId="0" borderId="0" xfId="0" applyNumberFormat="1" applyFont="1" applyFill="1" applyBorder="1" applyAlignment="1" applyProtection="1">
      <protection hidden="1"/>
    </xf>
    <xf numFmtId="0" fontId="36" fillId="0" borderId="0" xfId="0" applyFont="1" applyFill="1" applyBorder="1" applyAlignment="1" applyProtection="1">
      <alignment horizontal="right"/>
      <protection hidden="1"/>
    </xf>
    <xf numFmtId="2" fontId="35" fillId="0" borderId="0" xfId="0" applyNumberFormat="1" applyFont="1" applyFill="1" applyBorder="1" applyAlignment="1" applyProtection="1">
      <protection hidden="1"/>
    </xf>
    <xf numFmtId="0" fontId="39" fillId="0" borderId="0" xfId="0" applyFont="1"/>
    <xf numFmtId="0" fontId="39" fillId="2" borderId="0" xfId="0" applyFont="1" applyFill="1"/>
    <xf numFmtId="0" fontId="39" fillId="11" borderId="0" xfId="0" applyFont="1" applyFill="1" applyAlignment="1">
      <alignment horizontal="right"/>
    </xf>
    <xf numFmtId="0" fontId="39" fillId="11" borderId="0" xfId="0" applyFont="1" applyFill="1" applyBorder="1"/>
    <xf numFmtId="0" fontId="39" fillId="2" borderId="0" xfId="0" applyFont="1" applyFill="1" applyAlignment="1">
      <alignment horizontal="left"/>
    </xf>
    <xf numFmtId="166" fontId="39" fillId="11" borderId="0" xfId="0" applyNumberFormat="1" applyFont="1" applyFill="1"/>
    <xf numFmtId="0" fontId="39" fillId="11" borderId="0" xfId="0" applyFont="1" applyFill="1"/>
    <xf numFmtId="0" fontId="39" fillId="2" borderId="0" xfId="0" applyFont="1" applyFill="1" applyAlignment="1">
      <alignment horizontal="right"/>
    </xf>
    <xf numFmtId="0" fontId="39" fillId="2" borderId="0" xfId="0" applyNumberFormat="1" applyFont="1" applyFill="1"/>
    <xf numFmtId="0" fontId="39" fillId="0" borderId="0" xfId="0" applyFont="1" applyFill="1"/>
    <xf numFmtId="0" fontId="39" fillId="0" borderId="0" xfId="0" applyNumberFormat="1" applyFont="1"/>
    <xf numFmtId="11" fontId="95" fillId="11" borderId="1" xfId="0" applyNumberFormat="1" applyFont="1" applyFill="1" applyBorder="1"/>
    <xf numFmtId="0" fontId="41" fillId="0" borderId="0" xfId="0" applyFont="1" applyAlignment="1" applyProtection="1">
      <protection hidden="1"/>
    </xf>
    <xf numFmtId="0" fontId="42" fillId="0" borderId="0" xfId="0" applyFont="1" applyAlignment="1" applyProtection="1">
      <protection hidden="1"/>
    </xf>
    <xf numFmtId="0" fontId="43" fillId="0" borderId="0" xfId="0" applyFont="1" applyAlignment="1" applyProtection="1">
      <protection hidden="1"/>
    </xf>
    <xf numFmtId="0" fontId="44" fillId="0" borderId="0" xfId="0" applyFont="1" applyAlignment="1" applyProtection="1">
      <protection hidden="1"/>
    </xf>
    <xf numFmtId="0" fontId="45" fillId="0" borderId="0" xfId="0" applyFont="1" applyAlignment="1" applyProtection="1">
      <protection hidden="1"/>
    </xf>
    <xf numFmtId="0" fontId="43" fillId="0" borderId="0" xfId="0" applyFont="1" applyFill="1" applyAlignment="1" applyProtection="1">
      <protection hidden="1"/>
    </xf>
    <xf numFmtId="0" fontId="43" fillId="0" borderId="0" xfId="0" applyFont="1" applyFill="1" applyAlignment="1" applyProtection="1">
      <alignment horizontal="center"/>
      <protection hidden="1"/>
    </xf>
    <xf numFmtId="0" fontId="45" fillId="0" borderId="0" xfId="0" applyFont="1" applyFill="1" applyAlignment="1" applyProtection="1">
      <alignment horizontal="center"/>
      <protection hidden="1"/>
    </xf>
    <xf numFmtId="0" fontId="45" fillId="0" borderId="0" xfId="0" applyFont="1" applyFill="1" applyBorder="1" applyAlignment="1" applyProtection="1">
      <alignment horizontal="center"/>
      <protection hidden="1"/>
    </xf>
    <xf numFmtId="0" fontId="43" fillId="0" borderId="0" xfId="0" applyFont="1" applyBorder="1" applyAlignment="1" applyProtection="1">
      <protection hidden="1"/>
    </xf>
    <xf numFmtId="0" fontId="43" fillId="0" borderId="0" xfId="0" applyFont="1" applyFill="1" applyBorder="1" applyAlignment="1" applyProtection="1">
      <protection hidden="1"/>
    </xf>
    <xf numFmtId="0" fontId="43" fillId="0" borderId="17" xfId="0" applyFont="1" applyBorder="1" applyAlignment="1" applyProtection="1">
      <protection hidden="1"/>
    </xf>
    <xf numFmtId="0" fontId="45" fillId="0" borderId="0" xfId="0" applyFont="1" applyBorder="1" applyAlignment="1" applyProtection="1">
      <alignment horizontal="center"/>
      <protection hidden="1"/>
    </xf>
    <xf numFmtId="0" fontId="43" fillId="0" borderId="0" xfId="0" applyFont="1" applyFill="1" applyBorder="1" applyAlignment="1" applyProtection="1">
      <alignment horizontal="center"/>
      <protection hidden="1"/>
    </xf>
    <xf numFmtId="0" fontId="48" fillId="0" borderId="0" xfId="0" applyFont="1" applyFill="1" applyBorder="1" applyAlignment="1" applyProtection="1">
      <protection hidden="1"/>
    </xf>
    <xf numFmtId="0" fontId="45" fillId="0" borderId="0" xfId="0" applyFont="1" applyFill="1" applyBorder="1" applyAlignment="1" applyProtection="1">
      <protection hidden="1"/>
    </xf>
    <xf numFmtId="0" fontId="43" fillId="0" borderId="38" xfId="0" applyFont="1" applyFill="1" applyBorder="1" applyAlignment="1" applyProtection="1">
      <protection hidden="1"/>
    </xf>
    <xf numFmtId="0" fontId="45" fillId="0" borderId="0" xfId="0" applyFont="1" applyFill="1" applyAlignment="1" applyProtection="1">
      <alignment horizontal="right"/>
      <protection hidden="1"/>
    </xf>
    <xf numFmtId="0" fontId="45" fillId="0" borderId="0" xfId="0" applyFont="1" applyFill="1" applyBorder="1" applyAlignment="1" applyProtection="1">
      <alignment horizontal="left"/>
      <protection hidden="1"/>
    </xf>
    <xf numFmtId="3" fontId="45" fillId="0" borderId="0" xfId="0" applyNumberFormat="1" applyFont="1" applyFill="1" applyBorder="1" applyAlignment="1" applyProtection="1">
      <protection hidden="1"/>
    </xf>
    <xf numFmtId="2" fontId="45" fillId="0" borderId="0" xfId="0" applyNumberFormat="1" applyFont="1" applyFill="1" applyBorder="1" applyAlignment="1" applyProtection="1">
      <protection hidden="1"/>
    </xf>
    <xf numFmtId="0" fontId="43" fillId="0" borderId="0" xfId="0" applyFont="1" applyFill="1" applyBorder="1" applyAlignment="1" applyProtection="1">
      <alignment horizontal="right"/>
      <protection hidden="1"/>
    </xf>
    <xf numFmtId="0" fontId="57" fillId="0" borderId="0" xfId="0" applyFont="1" applyBorder="1" applyAlignment="1" applyProtection="1">
      <protection hidden="1"/>
    </xf>
    <xf numFmtId="1" fontId="43" fillId="0" borderId="0" xfId="0" applyNumberFormat="1" applyFont="1" applyFill="1" applyBorder="1" applyAlignment="1" applyProtection="1">
      <alignment horizontal="center"/>
      <protection hidden="1"/>
    </xf>
    <xf numFmtId="0" fontId="43" fillId="0" borderId="39" xfId="0" applyFont="1" applyBorder="1" applyAlignment="1" applyProtection="1">
      <protection hidden="1"/>
    </xf>
    <xf numFmtId="0" fontId="43" fillId="0" borderId="39" xfId="0" applyFont="1" applyBorder="1" applyAlignment="1" applyProtection="1">
      <alignment horizontal="center"/>
      <protection hidden="1"/>
    </xf>
    <xf numFmtId="0" fontId="43" fillId="0" borderId="17" xfId="0" applyFont="1" applyFill="1" applyBorder="1" applyAlignment="1" applyProtection="1">
      <protection hidden="1"/>
    </xf>
    <xf numFmtId="0" fontId="43" fillId="0" borderId="40" xfId="0" applyFont="1" applyBorder="1" applyAlignment="1" applyProtection="1">
      <alignment horizontal="center"/>
      <protection hidden="1"/>
    </xf>
    <xf numFmtId="0" fontId="51" fillId="0" borderId="0" xfId="0" applyFont="1" applyFill="1" applyBorder="1" applyAlignment="1" applyProtection="1">
      <protection hidden="1"/>
    </xf>
    <xf numFmtId="0" fontId="58" fillId="0" borderId="0" xfId="0" applyFont="1" applyAlignment="1" applyProtection="1">
      <protection hidden="1"/>
    </xf>
    <xf numFmtId="0" fontId="59" fillId="0" borderId="0" xfId="0" applyFont="1" applyAlignment="1" applyProtection="1">
      <protection hidden="1"/>
    </xf>
    <xf numFmtId="0" fontId="43" fillId="0" borderId="19" xfId="0" applyFont="1" applyBorder="1" applyAlignment="1" applyProtection="1">
      <protection hidden="1"/>
    </xf>
    <xf numFmtId="0" fontId="45" fillId="0" borderId="39" xfId="0" applyFont="1" applyBorder="1" applyAlignment="1" applyProtection="1">
      <alignment horizontal="center"/>
      <protection hidden="1"/>
    </xf>
    <xf numFmtId="0" fontId="45" fillId="12" borderId="41" xfId="0" applyFont="1" applyFill="1" applyBorder="1" applyAlignment="1" applyProtection="1">
      <alignment horizontal="center"/>
      <protection hidden="1"/>
    </xf>
    <xf numFmtId="0" fontId="43" fillId="12" borderId="41" xfId="0" applyFont="1" applyFill="1" applyBorder="1" applyAlignment="1" applyProtection="1">
      <alignment horizontal="center"/>
      <protection hidden="1"/>
    </xf>
    <xf numFmtId="0" fontId="43" fillId="0" borderId="42" xfId="0" applyFont="1" applyBorder="1" applyAlignment="1" applyProtection="1">
      <protection hidden="1"/>
    </xf>
    <xf numFmtId="0" fontId="47" fillId="0" borderId="43" xfId="0" applyFont="1" applyBorder="1" applyAlignment="1" applyProtection="1">
      <protection hidden="1"/>
    </xf>
    <xf numFmtId="0" fontId="43" fillId="0" borderId="43" xfId="0" applyFont="1" applyBorder="1" applyAlignment="1" applyProtection="1">
      <protection hidden="1"/>
    </xf>
    <xf numFmtId="0" fontId="43" fillId="0" borderId="43" xfId="0" applyFont="1" applyFill="1" applyBorder="1" applyAlignment="1" applyProtection="1">
      <protection hidden="1"/>
    </xf>
    <xf numFmtId="0" fontId="43" fillId="0" borderId="44" xfId="0" applyFont="1" applyBorder="1" applyAlignment="1" applyProtection="1">
      <protection hidden="1"/>
    </xf>
    <xf numFmtId="1" fontId="45" fillId="0" borderId="43" xfId="0" applyNumberFormat="1" applyFont="1" applyBorder="1" applyAlignment="1" applyProtection="1">
      <protection hidden="1"/>
    </xf>
    <xf numFmtId="0" fontId="48" fillId="0" borderId="43" xfId="0" applyFont="1" applyBorder="1" applyAlignment="1" applyProtection="1">
      <protection hidden="1"/>
    </xf>
    <xf numFmtId="0" fontId="43" fillId="0" borderId="45" xfId="0" applyFont="1" applyBorder="1" applyAlignment="1" applyProtection="1">
      <protection hidden="1"/>
    </xf>
    <xf numFmtId="0" fontId="45" fillId="12" borderId="46" xfId="0" applyFont="1" applyFill="1" applyBorder="1" applyAlignment="1" applyProtection="1">
      <alignment horizontal="center"/>
      <protection hidden="1"/>
    </xf>
    <xf numFmtId="0" fontId="43" fillId="0" borderId="18" xfId="0" applyFont="1" applyFill="1" applyBorder="1" applyAlignment="1" applyProtection="1">
      <alignment horizontal="right"/>
      <protection hidden="1"/>
    </xf>
    <xf numFmtId="0" fontId="54" fillId="10" borderId="41" xfId="0" applyFont="1" applyFill="1" applyBorder="1" applyAlignment="1" applyProtection="1">
      <alignment horizontal="center"/>
      <protection hidden="1"/>
    </xf>
    <xf numFmtId="0" fontId="55" fillId="0" borderId="39" xfId="0" applyFont="1" applyBorder="1" applyAlignment="1" applyProtection="1">
      <protection hidden="1"/>
    </xf>
    <xf numFmtId="0" fontId="96" fillId="0" borderId="39" xfId="0" applyFont="1" applyBorder="1" applyAlignment="1" applyProtection="1">
      <protection hidden="1"/>
    </xf>
    <xf numFmtId="0" fontId="45" fillId="0" borderId="41" xfId="0" applyFont="1" applyBorder="1" applyAlignment="1" applyProtection="1">
      <alignment horizontal="center"/>
      <protection hidden="1"/>
    </xf>
    <xf numFmtId="0" fontId="97" fillId="0" borderId="39" xfId="0" applyFont="1" applyBorder="1" applyAlignment="1" applyProtection="1">
      <protection hidden="1"/>
    </xf>
    <xf numFmtId="0" fontId="56" fillId="0" borderId="39" xfId="0" applyFont="1" applyBorder="1" applyAlignment="1" applyProtection="1">
      <protection hidden="1"/>
    </xf>
    <xf numFmtId="0" fontId="45" fillId="0" borderId="47" xfId="0" applyFont="1" applyBorder="1" applyAlignment="1" applyProtection="1">
      <alignment horizontal="center"/>
      <protection hidden="1"/>
    </xf>
    <xf numFmtId="0" fontId="57" fillId="0" borderId="40" xfId="0" applyFont="1" applyBorder="1" applyAlignment="1" applyProtection="1">
      <protection hidden="1"/>
    </xf>
    <xf numFmtId="2" fontId="43" fillId="0" borderId="48" xfId="0" applyNumberFormat="1" applyFont="1" applyBorder="1" applyAlignment="1" applyProtection="1">
      <protection hidden="1"/>
    </xf>
    <xf numFmtId="2" fontId="43" fillId="0" borderId="44" xfId="0" applyNumberFormat="1" applyFont="1" applyBorder="1" applyAlignment="1" applyProtection="1">
      <protection hidden="1"/>
    </xf>
    <xf numFmtId="2" fontId="43" fillId="0" borderId="45" xfId="0" applyNumberFormat="1" applyFont="1" applyBorder="1" applyAlignment="1" applyProtection="1">
      <protection hidden="1"/>
    </xf>
    <xf numFmtId="1" fontId="43" fillId="12" borderId="39" xfId="0" applyNumberFormat="1" applyFont="1" applyFill="1" applyBorder="1" applyAlignment="1" applyProtection="1">
      <alignment horizontal="center"/>
      <protection hidden="1"/>
    </xf>
    <xf numFmtId="0" fontId="43" fillId="0" borderId="46" xfId="0" applyFont="1" applyFill="1" applyBorder="1" applyAlignment="1" applyProtection="1">
      <protection hidden="1"/>
    </xf>
    <xf numFmtId="0" fontId="43" fillId="0" borderId="49" xfId="0" applyFont="1" applyFill="1" applyBorder="1" applyAlignment="1" applyProtection="1">
      <protection hidden="1"/>
    </xf>
    <xf numFmtId="0" fontId="45" fillId="0" borderId="49" xfId="0" applyFont="1" applyFill="1" applyBorder="1" applyAlignment="1" applyProtection="1">
      <alignment horizontal="center"/>
      <protection hidden="1"/>
    </xf>
    <xf numFmtId="0" fontId="45" fillId="0" borderId="50" xfId="0" applyFont="1" applyFill="1" applyBorder="1" applyAlignment="1" applyProtection="1">
      <alignment horizontal="center"/>
      <protection hidden="1"/>
    </xf>
    <xf numFmtId="0" fontId="45" fillId="0" borderId="41" xfId="0" applyFont="1" applyFill="1" applyBorder="1" applyAlignment="1" applyProtection="1">
      <alignment horizontal="center"/>
      <protection hidden="1"/>
    </xf>
    <xf numFmtId="0" fontId="45" fillId="0" borderId="47" xfId="0" applyFont="1" applyFill="1" applyBorder="1" applyAlignment="1" applyProtection="1">
      <alignment horizontal="center"/>
      <protection hidden="1"/>
    </xf>
    <xf numFmtId="0" fontId="97" fillId="0" borderId="40" xfId="0" applyFont="1" applyBorder="1" applyAlignment="1" applyProtection="1">
      <protection hidden="1"/>
    </xf>
    <xf numFmtId="164" fontId="43" fillId="12" borderId="39" xfId="0" applyNumberFormat="1" applyFont="1" applyFill="1" applyBorder="1" applyAlignment="1" applyProtection="1">
      <alignment horizontal="center"/>
      <protection hidden="1"/>
    </xf>
    <xf numFmtId="164" fontId="43" fillId="12" borderId="51" xfId="0" applyNumberFormat="1" applyFont="1" applyFill="1" applyBorder="1" applyAlignment="1" applyProtection="1">
      <alignment horizontal="center"/>
      <protection hidden="1"/>
    </xf>
    <xf numFmtId="164" fontId="43" fillId="12" borderId="40" xfId="0" applyNumberFormat="1" applyFont="1" applyFill="1" applyBorder="1" applyAlignment="1" applyProtection="1">
      <alignment horizontal="center"/>
      <protection hidden="1"/>
    </xf>
    <xf numFmtId="164" fontId="43" fillId="12" borderId="52" xfId="0" applyNumberFormat="1" applyFont="1" applyFill="1" applyBorder="1" applyAlignment="1" applyProtection="1">
      <alignment horizontal="center"/>
      <protection hidden="1"/>
    </xf>
    <xf numFmtId="0" fontId="35" fillId="0" borderId="0" xfId="0" applyFont="1" applyAlignment="1" applyProtection="1">
      <alignment wrapText="1"/>
      <protection hidden="1"/>
    </xf>
    <xf numFmtId="0" fontId="35" fillId="0" borderId="0" xfId="0" applyFont="1" applyAlignment="1" applyProtection="1">
      <alignment horizontal="center"/>
      <protection hidden="1"/>
    </xf>
    <xf numFmtId="0" fontId="98" fillId="0" borderId="0" xfId="0" applyFont="1" applyAlignment="1" applyProtection="1">
      <alignment horizontal="center"/>
      <protection hidden="1"/>
    </xf>
    <xf numFmtId="0" fontId="99" fillId="0" borderId="0" xfId="0" applyFont="1" applyAlignment="1" applyProtection="1">
      <alignment horizontal="center"/>
      <protection hidden="1"/>
    </xf>
    <xf numFmtId="12" fontId="98" fillId="0" borderId="0" xfId="0" applyNumberFormat="1" applyFont="1" applyAlignment="1" applyProtection="1">
      <alignment horizontal="center"/>
      <protection hidden="1"/>
    </xf>
    <xf numFmtId="2" fontId="98" fillId="0" borderId="0" xfId="0" applyNumberFormat="1" applyFont="1" applyAlignment="1" applyProtection="1">
      <alignment horizontal="center"/>
      <protection hidden="1"/>
    </xf>
    <xf numFmtId="49" fontId="98" fillId="0" borderId="0" xfId="0" applyNumberFormat="1" applyFont="1" applyAlignment="1" applyProtection="1">
      <alignment horizontal="center"/>
      <protection hidden="1"/>
    </xf>
    <xf numFmtId="0" fontId="43" fillId="0" borderId="0" xfId="0" applyFont="1" applyBorder="1" applyAlignment="1" applyProtection="1">
      <alignment horizontal="center"/>
      <protection hidden="1"/>
    </xf>
    <xf numFmtId="0" fontId="45" fillId="12" borderId="53" xfId="0" applyFont="1" applyFill="1" applyBorder="1" applyAlignment="1" applyProtection="1">
      <alignment horizontal="center"/>
      <protection hidden="1"/>
    </xf>
    <xf numFmtId="0" fontId="43" fillId="0" borderId="54" xfId="0" applyFont="1" applyBorder="1" applyAlignment="1" applyProtection="1">
      <protection hidden="1"/>
    </xf>
    <xf numFmtId="0" fontId="43" fillId="0" borderId="55" xfId="0" applyFont="1" applyBorder="1" applyAlignment="1" applyProtection="1">
      <protection hidden="1"/>
    </xf>
    <xf numFmtId="0" fontId="43" fillId="0" borderId="56" xfId="0" applyFont="1" applyBorder="1" applyAlignment="1" applyProtection="1">
      <protection hidden="1"/>
    </xf>
    <xf numFmtId="0" fontId="45" fillId="0" borderId="57" xfId="0" applyFont="1" applyBorder="1" applyAlignment="1" applyProtection="1">
      <alignment horizontal="center"/>
      <protection hidden="1"/>
    </xf>
    <xf numFmtId="0" fontId="43" fillId="0" borderId="57" xfId="0" applyFont="1" applyBorder="1" applyAlignment="1" applyProtection="1">
      <alignment horizontal="center"/>
      <protection hidden="1"/>
    </xf>
    <xf numFmtId="0" fontId="63" fillId="0" borderId="1" xfId="0" applyFont="1" applyBorder="1" applyAlignment="1" applyProtection="1">
      <protection hidden="1"/>
    </xf>
    <xf numFmtId="0" fontId="63" fillId="0" borderId="1" xfId="0" applyFont="1" applyFill="1" applyBorder="1" applyAlignment="1" applyProtection="1">
      <protection hidden="1"/>
    </xf>
    <xf numFmtId="0" fontId="62" fillId="0" borderId="0" xfId="0" applyFont="1" applyFill="1" applyAlignment="1" applyProtection="1">
      <protection hidden="1"/>
    </xf>
    <xf numFmtId="0" fontId="61" fillId="0" borderId="0" xfId="0" applyFont="1" applyFill="1" applyAlignment="1" applyProtection="1">
      <protection hidden="1"/>
    </xf>
    <xf numFmtId="0" fontId="36" fillId="0" borderId="0" xfId="0" applyFont="1" applyAlignment="1" applyProtection="1">
      <protection hidden="1"/>
    </xf>
    <xf numFmtId="0" fontId="43" fillId="0" borderId="10" xfId="0" applyFont="1" applyBorder="1" applyAlignment="1" applyProtection="1">
      <alignment horizontal="right"/>
      <protection hidden="1"/>
    </xf>
    <xf numFmtId="0" fontId="45" fillId="0" borderId="19" xfId="0" applyFont="1" applyFill="1" applyBorder="1" applyAlignment="1" applyProtection="1">
      <alignment horizontal="center"/>
      <protection hidden="1"/>
    </xf>
    <xf numFmtId="0" fontId="45" fillId="0" borderId="49" xfId="0" applyFont="1" applyBorder="1" applyAlignment="1" applyProtection="1">
      <alignment horizontal="center"/>
      <protection hidden="1"/>
    </xf>
    <xf numFmtId="0" fontId="45" fillId="0" borderId="50" xfId="0" applyFont="1" applyBorder="1" applyAlignment="1" applyProtection="1">
      <alignment horizontal="center"/>
      <protection hidden="1"/>
    </xf>
    <xf numFmtId="0" fontId="45" fillId="12" borderId="43" xfId="0" applyFont="1" applyFill="1" applyBorder="1" applyAlignment="1" applyProtection="1">
      <alignment horizontal="center"/>
      <protection hidden="1"/>
    </xf>
    <xf numFmtId="0" fontId="43" fillId="0" borderId="0" xfId="0" applyFont="1" applyAlignment="1" applyProtection="1">
      <alignment shrinkToFit="1"/>
      <protection hidden="1"/>
    </xf>
    <xf numFmtId="0" fontId="51" fillId="0" borderId="0" xfId="0" applyFont="1" applyFill="1" applyBorder="1" applyAlignment="1" applyProtection="1">
      <alignment shrinkToFit="1"/>
      <protection hidden="1"/>
    </xf>
    <xf numFmtId="0" fontId="43" fillId="0" borderId="0" xfId="0" applyFont="1" applyFill="1" applyAlignment="1" applyProtection="1">
      <alignment shrinkToFit="1"/>
      <protection hidden="1"/>
    </xf>
    <xf numFmtId="0" fontId="43" fillId="0" borderId="38" xfId="0" applyFont="1" applyBorder="1" applyAlignment="1" applyProtection="1">
      <alignment horizontal="center"/>
      <protection hidden="1"/>
    </xf>
    <xf numFmtId="0" fontId="43" fillId="0" borderId="58" xfId="0" applyFont="1" applyBorder="1" applyAlignment="1" applyProtection="1">
      <alignment horizontal="center"/>
      <protection hidden="1"/>
    </xf>
    <xf numFmtId="0" fontId="100" fillId="0" borderId="0" xfId="0" applyFont="1" applyAlignment="1" applyProtection="1">
      <alignment horizontal="center"/>
      <protection hidden="1"/>
    </xf>
    <xf numFmtId="0" fontId="43" fillId="0" borderId="37" xfId="0" applyFont="1" applyBorder="1" applyAlignment="1" applyProtection="1">
      <protection hidden="1"/>
    </xf>
    <xf numFmtId="0" fontId="39" fillId="13" borderId="0" xfId="0" applyFont="1" applyFill="1" applyAlignment="1">
      <alignment horizontal="right"/>
    </xf>
    <xf numFmtId="0" fontId="39" fillId="13" borderId="0" xfId="0" applyFont="1" applyFill="1"/>
    <xf numFmtId="0" fontId="60" fillId="14" borderId="0" xfId="0" applyFont="1" applyFill="1" applyAlignment="1" applyProtection="1">
      <alignment horizontal="center"/>
      <protection hidden="1"/>
    </xf>
    <xf numFmtId="0" fontId="69" fillId="0" borderId="0" xfId="0" applyFont="1" applyFill="1" applyBorder="1" applyAlignment="1" applyProtection="1">
      <protection hidden="1"/>
    </xf>
    <xf numFmtId="0" fontId="41" fillId="0" borderId="0" xfId="0" applyFont="1" applyFill="1" applyAlignment="1" applyProtection="1">
      <protection hidden="1"/>
    </xf>
    <xf numFmtId="0" fontId="71" fillId="0" borderId="0" xfId="0" applyFont="1" applyAlignment="1" applyProtection="1">
      <protection hidden="1"/>
    </xf>
    <xf numFmtId="0" fontId="71" fillId="0" borderId="0" xfId="0" applyFont="1" applyFill="1" applyAlignment="1" applyProtection="1">
      <protection hidden="1"/>
    </xf>
    <xf numFmtId="0" fontId="35" fillId="0" borderId="0" xfId="0" applyFont="1" applyAlignment="1" applyProtection="1">
      <alignment horizontal="left" vertical="top" textRotation="90"/>
      <protection hidden="1"/>
    </xf>
    <xf numFmtId="164" fontId="101" fillId="0" borderId="0" xfId="0" applyNumberFormat="1" applyFont="1" applyAlignment="1" applyProtection="1">
      <alignment horizontal="left" textRotation="90"/>
      <protection hidden="1"/>
    </xf>
    <xf numFmtId="0" fontId="101" fillId="0" borderId="0" xfId="0" applyFont="1" applyAlignment="1" applyProtection="1">
      <alignment horizontal="left" textRotation="90"/>
      <protection hidden="1"/>
    </xf>
    <xf numFmtId="0" fontId="45" fillId="0" borderId="1" xfId="0" applyFont="1" applyBorder="1" applyAlignment="1" applyProtection="1">
      <alignment horizontal="center" wrapText="1"/>
      <protection hidden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164" fontId="102" fillId="0" borderId="0" xfId="0" applyNumberFormat="1" applyFont="1" applyAlignment="1" applyProtection="1">
      <alignment horizontal="left" textRotation="90"/>
      <protection hidden="1"/>
    </xf>
    <xf numFmtId="164" fontId="102" fillId="0" borderId="0" xfId="0" applyNumberFormat="1" applyFont="1" applyAlignment="1" applyProtection="1">
      <protection hidden="1"/>
    </xf>
    <xf numFmtId="0" fontId="39" fillId="13" borderId="0" xfId="0" applyNumberFormat="1" applyFont="1" applyFill="1" applyAlignment="1">
      <alignment horizontal="right"/>
    </xf>
    <xf numFmtId="0" fontId="39" fillId="13" borderId="0" xfId="0" applyFont="1" applyFill="1" applyAlignment="1"/>
    <xf numFmtId="0" fontId="0" fillId="13" borderId="0" xfId="0" applyFill="1" applyAlignment="1"/>
    <xf numFmtId="0" fontId="18" fillId="13" borderId="0" xfId="1" applyFill="1" applyAlignment="1" applyProtection="1"/>
    <xf numFmtId="0" fontId="39" fillId="13" borderId="0" xfId="0" applyNumberFormat="1" applyFont="1" applyFill="1"/>
    <xf numFmtId="0" fontId="45" fillId="0" borderId="0" xfId="0" applyNumberFormat="1" applyFont="1" applyFill="1" applyBorder="1" applyAlignment="1" applyProtection="1">
      <protection hidden="1"/>
    </xf>
    <xf numFmtId="12" fontId="45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Alignment="1" applyProtection="1">
      <protection hidden="1"/>
    </xf>
    <xf numFmtId="12" fontId="43" fillId="0" borderId="0" xfId="0" applyNumberFormat="1" applyFont="1" applyFill="1" applyBorder="1" applyAlignment="1" applyProtection="1">
      <alignment horizontal="left"/>
      <protection hidden="1"/>
    </xf>
    <xf numFmtId="49" fontId="39" fillId="13" borderId="0" xfId="0" applyNumberFormat="1" applyFont="1" applyFill="1"/>
    <xf numFmtId="0" fontId="45" fillId="12" borderId="39" xfId="0" applyFont="1" applyFill="1" applyBorder="1" applyAlignment="1" applyProtection="1">
      <alignment horizontal="center"/>
      <protection hidden="1"/>
    </xf>
    <xf numFmtId="0" fontId="45" fillId="12" borderId="42" xfId="0" applyFont="1" applyFill="1" applyBorder="1" applyAlignment="1" applyProtection="1">
      <alignment horizontal="center"/>
      <protection hidden="1"/>
    </xf>
    <xf numFmtId="0" fontId="73" fillId="0" borderId="0" xfId="0" applyFont="1" applyAlignment="1" applyProtection="1">
      <protection hidden="1"/>
    </xf>
    <xf numFmtId="0" fontId="45" fillId="12" borderId="49" xfId="0" applyFont="1" applyFill="1" applyBorder="1" applyAlignment="1" applyProtection="1">
      <alignment horizontal="center"/>
      <protection hidden="1"/>
    </xf>
    <xf numFmtId="0" fontId="103" fillId="0" borderId="0" xfId="0" applyFont="1" applyFill="1" applyBorder="1" applyAlignment="1" applyProtection="1">
      <alignment horizontal="center" wrapText="1"/>
      <protection hidden="1"/>
    </xf>
    <xf numFmtId="0" fontId="104" fillId="0" borderId="0" xfId="0" applyFont="1" applyAlignment="1" applyProtection="1">
      <alignment horizontal="left" wrapText="1"/>
      <protection hidden="1"/>
    </xf>
    <xf numFmtId="0" fontId="60" fillId="15" borderId="21" xfId="0" applyFont="1" applyFill="1" applyBorder="1" applyAlignment="1" applyProtection="1">
      <alignment horizontal="right"/>
      <protection hidden="1"/>
    </xf>
    <xf numFmtId="0" fontId="60" fillId="15" borderId="9" xfId="0" applyFont="1" applyFill="1" applyBorder="1" applyAlignment="1" applyProtection="1">
      <alignment horizontal="left"/>
      <protection hidden="1"/>
    </xf>
    <xf numFmtId="0" fontId="45" fillId="15" borderId="21" xfId="0" applyFont="1" applyFill="1" applyBorder="1" applyAlignment="1" applyProtection="1">
      <alignment horizontal="center" wrapText="1"/>
      <protection hidden="1"/>
    </xf>
    <xf numFmtId="0" fontId="105" fillId="15" borderId="0" xfId="0" applyFont="1" applyFill="1" applyAlignment="1" applyProtection="1">
      <alignment horizontal="left"/>
      <protection hidden="1"/>
    </xf>
    <xf numFmtId="0" fontId="58" fillId="15" borderId="10" xfId="0" applyFont="1" applyFill="1" applyBorder="1" applyAlignment="1" applyProtection="1">
      <alignment horizontal="right"/>
      <protection hidden="1"/>
    </xf>
    <xf numFmtId="0" fontId="58" fillId="15" borderId="19" xfId="0" applyFont="1" applyFill="1" applyBorder="1" applyAlignment="1" applyProtection="1">
      <alignment horizontal="left"/>
      <protection hidden="1"/>
    </xf>
    <xf numFmtId="0" fontId="43" fillId="15" borderId="19" xfId="0" applyFont="1" applyFill="1" applyBorder="1" applyAlignment="1" applyProtection="1">
      <alignment horizontal="left"/>
      <protection hidden="1"/>
    </xf>
    <xf numFmtId="0" fontId="59" fillId="15" borderId="19" xfId="0" applyFont="1" applyFill="1" applyBorder="1" applyAlignment="1" applyProtection="1">
      <protection hidden="1"/>
    </xf>
    <xf numFmtId="0" fontId="59" fillId="15" borderId="19" xfId="0" applyFont="1" applyFill="1" applyBorder="1" applyAlignment="1" applyProtection="1">
      <alignment horizontal="right"/>
      <protection hidden="1"/>
    </xf>
    <xf numFmtId="1" fontId="59" fillId="15" borderId="19" xfId="0" applyNumberFormat="1" applyFont="1" applyFill="1" applyBorder="1" applyAlignment="1" applyProtection="1">
      <alignment horizontal="center"/>
      <protection hidden="1"/>
    </xf>
    <xf numFmtId="0" fontId="59" fillId="15" borderId="19" xfId="0" applyFont="1" applyFill="1" applyBorder="1" applyAlignment="1" applyProtection="1">
      <alignment horizontal="center"/>
      <protection hidden="1"/>
    </xf>
    <xf numFmtId="0" fontId="59" fillId="15" borderId="11" xfId="0" applyFont="1" applyFill="1" applyBorder="1" applyAlignment="1" applyProtection="1">
      <protection hidden="1"/>
    </xf>
    <xf numFmtId="12" fontId="98" fillId="0" borderId="0" xfId="0" applyNumberFormat="1" applyFont="1" applyAlignment="1" applyProtection="1">
      <alignment horizontal="right"/>
      <protection hidden="1"/>
    </xf>
    <xf numFmtId="2" fontId="98" fillId="0" borderId="0" xfId="0" applyNumberFormat="1" applyFont="1" applyAlignment="1" applyProtection="1">
      <alignment horizontal="right"/>
      <protection hidden="1"/>
    </xf>
    <xf numFmtId="49" fontId="98" fillId="0" borderId="0" xfId="0" applyNumberFormat="1" applyFont="1" applyAlignment="1" applyProtection="1">
      <alignment horizontal="left"/>
      <protection hidden="1"/>
    </xf>
    <xf numFmtId="0" fontId="45" fillId="15" borderId="11" xfId="0" applyFont="1" applyFill="1" applyBorder="1" applyAlignment="1" applyProtection="1">
      <alignment horizontal="left"/>
      <protection hidden="1"/>
    </xf>
    <xf numFmtId="0" fontId="45" fillId="15" borderId="47" xfId="0" applyFont="1" applyFill="1" applyBorder="1" applyAlignment="1" applyProtection="1">
      <alignment horizontal="center"/>
      <protection hidden="1"/>
    </xf>
    <xf numFmtId="0" fontId="76" fillId="0" borderId="51" xfId="0" applyFont="1" applyBorder="1" applyAlignment="1" applyProtection="1">
      <protection hidden="1"/>
    </xf>
    <xf numFmtId="167" fontId="76" fillId="0" borderId="51" xfId="0" applyNumberFormat="1" applyFont="1" applyFill="1" applyBorder="1" applyAlignment="1" applyProtection="1">
      <alignment horizontal="left"/>
      <protection hidden="1"/>
    </xf>
    <xf numFmtId="0" fontId="76" fillId="0" borderId="59" xfId="0" applyFont="1" applyBorder="1" applyAlignment="1" applyProtection="1">
      <protection hidden="1"/>
    </xf>
    <xf numFmtId="0" fontId="45" fillId="12" borderId="60" xfId="0" applyFont="1" applyFill="1" applyBorder="1" applyAlignment="1" applyProtection="1">
      <protection hidden="1"/>
    </xf>
    <xf numFmtId="0" fontId="43" fillId="12" borderId="61" xfId="0" applyFont="1" applyFill="1" applyBorder="1" applyAlignment="1" applyProtection="1">
      <protection hidden="1"/>
    </xf>
    <xf numFmtId="0" fontId="103" fillId="15" borderId="9" xfId="0" applyFont="1" applyFill="1" applyBorder="1" applyAlignment="1" applyProtection="1">
      <alignment horizontal="left" vertical="center" wrapText="1"/>
      <protection hidden="1"/>
    </xf>
    <xf numFmtId="165" fontId="43" fillId="0" borderId="60" xfId="0" applyNumberFormat="1" applyFont="1" applyBorder="1" applyAlignment="1" applyProtection="1">
      <protection hidden="1"/>
    </xf>
    <xf numFmtId="165" fontId="43" fillId="0" borderId="42" xfId="0" applyNumberFormat="1" applyFont="1" applyFill="1" applyBorder="1" applyAlignment="1" applyProtection="1">
      <protection hidden="1"/>
    </xf>
    <xf numFmtId="165" fontId="43" fillId="0" borderId="42" xfId="0" applyNumberFormat="1" applyFont="1" applyBorder="1" applyAlignment="1" applyProtection="1">
      <protection hidden="1"/>
    </xf>
    <xf numFmtId="165" fontId="43" fillId="0" borderId="62" xfId="0" applyNumberFormat="1" applyFont="1" applyBorder="1" applyAlignment="1" applyProtection="1">
      <protection hidden="1"/>
    </xf>
    <xf numFmtId="165" fontId="43" fillId="0" borderId="38" xfId="0" applyNumberFormat="1" applyFont="1" applyBorder="1" applyAlignment="1" applyProtection="1">
      <protection hidden="1"/>
    </xf>
    <xf numFmtId="165" fontId="43" fillId="0" borderId="39" xfId="0" applyNumberFormat="1" applyFont="1" applyBorder="1" applyAlignment="1" applyProtection="1">
      <protection hidden="1"/>
    </xf>
    <xf numFmtId="165" fontId="43" fillId="0" borderId="40" xfId="0" applyNumberFormat="1" applyFont="1" applyBorder="1" applyAlignment="1" applyProtection="1">
      <protection hidden="1"/>
    </xf>
    <xf numFmtId="164" fontId="45" fillId="0" borderId="60" xfId="0" applyNumberFormat="1" applyFont="1" applyBorder="1" applyAlignment="1" applyProtection="1">
      <protection hidden="1"/>
    </xf>
    <xf numFmtId="0" fontId="45" fillId="0" borderId="23" xfId="0" applyFont="1" applyBorder="1" applyAlignment="1" applyProtection="1">
      <protection hidden="1"/>
    </xf>
    <xf numFmtId="164" fontId="45" fillId="0" borderId="42" xfId="0" applyNumberFormat="1" applyFont="1" applyBorder="1" applyAlignment="1" applyProtection="1">
      <protection hidden="1"/>
    </xf>
    <xf numFmtId="0" fontId="45" fillId="0" borderId="24" xfId="0" applyFont="1" applyBorder="1" applyAlignment="1" applyProtection="1">
      <protection hidden="1"/>
    </xf>
    <xf numFmtId="164" fontId="45" fillId="0" borderId="62" xfId="0" applyNumberFormat="1" applyFont="1" applyBorder="1" applyAlignment="1" applyProtection="1">
      <protection hidden="1"/>
    </xf>
    <xf numFmtId="0" fontId="45" fillId="0" borderId="63" xfId="0" applyFont="1" applyBorder="1" applyAlignment="1" applyProtection="1">
      <protection hidden="1"/>
    </xf>
    <xf numFmtId="0" fontId="45" fillId="0" borderId="36" xfId="0" applyFont="1" applyFill="1" applyBorder="1" applyAlignment="1" applyProtection="1">
      <alignment horizontal="right"/>
      <protection hidden="1"/>
    </xf>
    <xf numFmtId="0" fontId="45" fillId="0" borderId="64" xfId="0" applyFont="1" applyFill="1" applyBorder="1" applyAlignment="1" applyProtection="1">
      <protection hidden="1"/>
    </xf>
    <xf numFmtId="0" fontId="45" fillId="0" borderId="47" xfId="0" applyFont="1" applyFill="1" applyBorder="1" applyAlignment="1" applyProtection="1">
      <alignment horizontal="right"/>
      <protection hidden="1"/>
    </xf>
    <xf numFmtId="0" fontId="45" fillId="0" borderId="52" xfId="0" applyFont="1" applyFill="1" applyBorder="1" applyAlignment="1" applyProtection="1">
      <protection hidden="1"/>
    </xf>
    <xf numFmtId="0" fontId="45" fillId="0" borderId="36" xfId="0" applyFont="1" applyBorder="1" applyAlignment="1" applyProtection="1">
      <alignment horizontal="center"/>
      <protection hidden="1"/>
    </xf>
    <xf numFmtId="0" fontId="75" fillId="15" borderId="1" xfId="0" applyFont="1" applyFill="1" applyBorder="1" applyAlignment="1" applyProtection="1">
      <alignment horizontal="left"/>
      <protection hidden="1"/>
    </xf>
    <xf numFmtId="0" fontId="61" fillId="0" borderId="0" xfId="0" applyFont="1" applyAlignment="1" applyProtection="1">
      <protection hidden="1"/>
    </xf>
    <xf numFmtId="164" fontId="102" fillId="0" borderId="0" xfId="0" applyNumberFormat="1" applyFont="1" applyAlignment="1" applyProtection="1">
      <alignment horizontal="center"/>
      <protection hidden="1"/>
    </xf>
    <xf numFmtId="0" fontId="102" fillId="0" borderId="0" xfId="0" applyFont="1" applyAlignment="1" applyProtection="1">
      <protection hidden="1"/>
    </xf>
    <xf numFmtId="0" fontId="43" fillId="0" borderId="0" xfId="0" applyFont="1" applyAlignment="1" applyProtection="1">
      <alignment vertical="center"/>
      <protection hidden="1"/>
    </xf>
    <xf numFmtId="0" fontId="45" fillId="12" borderId="47" xfId="0" applyFont="1" applyFill="1" applyBorder="1" applyAlignment="1" applyProtection="1">
      <alignment horizontal="center" vertical="center"/>
      <protection hidden="1"/>
    </xf>
    <xf numFmtId="0" fontId="43" fillId="0" borderId="62" xfId="0" applyFont="1" applyBorder="1" applyAlignment="1" applyProtection="1">
      <alignment vertical="center"/>
      <protection hidden="1"/>
    </xf>
    <xf numFmtId="0" fontId="43" fillId="0" borderId="65" xfId="0" applyFont="1" applyBorder="1" applyAlignment="1" applyProtection="1">
      <alignment vertical="center"/>
      <protection hidden="1"/>
    </xf>
    <xf numFmtId="0" fontId="43" fillId="15" borderId="65" xfId="0" applyFont="1" applyFill="1" applyBorder="1" applyAlignment="1" applyProtection="1">
      <alignment horizontal="right" vertical="center"/>
      <protection hidden="1"/>
    </xf>
    <xf numFmtId="0" fontId="43" fillId="15" borderId="65" xfId="0" applyFont="1" applyFill="1" applyBorder="1" applyAlignment="1" applyProtection="1">
      <alignment horizontal="left" vertical="center"/>
      <protection hidden="1"/>
    </xf>
    <xf numFmtId="0" fontId="43" fillId="15" borderId="65" xfId="0" applyFont="1" applyFill="1" applyBorder="1" applyAlignment="1" applyProtection="1">
      <alignment vertical="center"/>
      <protection hidden="1"/>
    </xf>
    <xf numFmtId="0" fontId="45" fillId="15" borderId="40" xfId="0" applyFont="1" applyFill="1" applyBorder="1" applyAlignment="1" applyProtection="1">
      <alignment horizontal="center" vertical="center"/>
      <protection hidden="1"/>
    </xf>
    <xf numFmtId="0" fontId="43" fillId="15" borderId="40" xfId="0" applyFont="1" applyFill="1" applyBorder="1" applyAlignment="1" applyProtection="1">
      <alignment horizontal="center" vertical="center"/>
      <protection hidden="1"/>
    </xf>
    <xf numFmtId="0" fontId="75" fillId="0" borderId="0" xfId="0" applyFont="1" applyFill="1" applyAlignment="1" applyProtection="1">
      <protection hidden="1"/>
    </xf>
    <xf numFmtId="0" fontId="75" fillId="0" borderId="0" xfId="0" applyFont="1" applyFill="1" applyBorder="1" applyAlignment="1" applyProtection="1">
      <alignment horizontal="left"/>
      <protection hidden="1"/>
    </xf>
    <xf numFmtId="2" fontId="75" fillId="0" borderId="0" xfId="0" applyNumberFormat="1" applyFont="1" applyFill="1" applyBorder="1" applyAlignment="1" applyProtection="1">
      <protection hidden="1"/>
    </xf>
    <xf numFmtId="0" fontId="75" fillId="0" borderId="0" xfId="0" applyFont="1" applyAlignment="1" applyProtection="1">
      <protection hidden="1"/>
    </xf>
    <xf numFmtId="3" fontId="43" fillId="13" borderId="38" xfId="0" applyNumberFormat="1" applyFont="1" applyFill="1" applyBorder="1" applyAlignment="1" applyProtection="1">
      <protection locked="0" hidden="1"/>
    </xf>
    <xf numFmtId="3" fontId="43" fillId="13" borderId="39" xfId="0" applyNumberFormat="1" applyFont="1" applyFill="1" applyBorder="1" applyAlignment="1" applyProtection="1">
      <protection locked="0" hidden="1"/>
    </xf>
    <xf numFmtId="3" fontId="43" fillId="13" borderId="57" xfId="0" applyNumberFormat="1" applyFont="1" applyFill="1" applyBorder="1" applyAlignment="1" applyProtection="1">
      <protection locked="0" hidden="1"/>
    </xf>
    <xf numFmtId="3" fontId="45" fillId="15" borderId="1" xfId="0" applyNumberFormat="1" applyFont="1" applyFill="1" applyBorder="1" applyAlignment="1" applyProtection="1">
      <protection hidden="1"/>
    </xf>
    <xf numFmtId="0" fontId="43" fillId="13" borderId="0" xfId="0" applyFont="1" applyFill="1" applyBorder="1" applyAlignment="1" applyProtection="1">
      <protection hidden="1"/>
    </xf>
    <xf numFmtId="0" fontId="43" fillId="0" borderId="39" xfId="0" applyFont="1" applyFill="1" applyBorder="1" applyAlignment="1" applyProtection="1">
      <alignment horizontal="center"/>
      <protection hidden="1"/>
    </xf>
    <xf numFmtId="0" fontId="43" fillId="0" borderId="39" xfId="0" applyNumberFormat="1" applyFont="1" applyFill="1" applyBorder="1" applyAlignment="1" applyProtection="1">
      <alignment horizontal="center"/>
      <protection hidden="1"/>
    </xf>
    <xf numFmtId="0" fontId="43" fillId="0" borderId="57" xfId="0" applyFont="1" applyFill="1" applyBorder="1" applyAlignment="1" applyProtection="1">
      <alignment horizontal="center"/>
      <protection hidden="1"/>
    </xf>
    <xf numFmtId="0" fontId="43" fillId="13" borderId="66" xfId="0" applyFont="1" applyFill="1" applyBorder="1" applyAlignment="1" applyProtection="1">
      <protection hidden="1"/>
    </xf>
    <xf numFmtId="0" fontId="43" fillId="13" borderId="67" xfId="0" applyFont="1" applyFill="1" applyBorder="1" applyAlignment="1" applyProtection="1">
      <protection hidden="1"/>
    </xf>
    <xf numFmtId="0" fontId="43" fillId="13" borderId="68" xfId="0" applyFont="1" applyFill="1" applyBorder="1" applyAlignment="1" applyProtection="1">
      <alignment vertical="center"/>
      <protection hidden="1"/>
    </xf>
    <xf numFmtId="0" fontId="43" fillId="13" borderId="35" xfId="0" applyFont="1" applyFill="1" applyBorder="1" applyAlignment="1" applyProtection="1">
      <alignment vertical="center"/>
      <protection hidden="1"/>
    </xf>
    <xf numFmtId="0" fontId="45" fillId="14" borderId="41" xfId="0" applyFont="1" applyFill="1" applyBorder="1" applyAlignment="1" applyProtection="1">
      <alignment horizontal="center"/>
      <protection hidden="1"/>
    </xf>
    <xf numFmtId="1" fontId="43" fillId="14" borderId="36" xfId="0" applyNumberFormat="1" applyFont="1" applyFill="1" applyBorder="1" applyAlignment="1" applyProtection="1">
      <alignment horizontal="center"/>
      <protection hidden="1"/>
    </xf>
    <xf numFmtId="0" fontId="43" fillId="14" borderId="41" xfId="0" applyFont="1" applyFill="1" applyBorder="1" applyAlignment="1" applyProtection="1">
      <alignment horizontal="center"/>
      <protection hidden="1"/>
    </xf>
    <xf numFmtId="164" fontId="106" fillId="0" borderId="38" xfId="0" applyNumberFormat="1" applyFont="1" applyFill="1" applyBorder="1" applyAlignment="1" applyProtection="1">
      <protection hidden="1"/>
    </xf>
    <xf numFmtId="164" fontId="106" fillId="0" borderId="39" xfId="0" applyNumberFormat="1" applyFont="1" applyFill="1" applyBorder="1" applyAlignment="1" applyProtection="1">
      <protection hidden="1"/>
    </xf>
    <xf numFmtId="164" fontId="106" fillId="0" borderId="57" xfId="0" applyNumberFormat="1" applyFont="1" applyFill="1" applyBorder="1" applyAlignment="1" applyProtection="1">
      <protection hidden="1"/>
    </xf>
    <xf numFmtId="2" fontId="107" fillId="0" borderId="1" xfId="0" applyNumberFormat="1" applyFont="1" applyFill="1" applyBorder="1" applyAlignment="1" applyProtection="1">
      <protection hidden="1"/>
    </xf>
    <xf numFmtId="0" fontId="107" fillId="13" borderId="19" xfId="0" applyFont="1" applyFill="1" applyBorder="1" applyAlignment="1" applyProtection="1">
      <alignment horizontal="left"/>
      <protection hidden="1"/>
    </xf>
    <xf numFmtId="0" fontId="106" fillId="0" borderId="0" xfId="0" applyFont="1" applyFill="1" applyBorder="1" applyAlignment="1" applyProtection="1">
      <protection hidden="1"/>
    </xf>
    <xf numFmtId="0" fontId="107" fillId="0" borderId="19" xfId="0" applyFont="1" applyFill="1" applyBorder="1" applyAlignment="1" applyProtection="1">
      <protection hidden="1"/>
    </xf>
    <xf numFmtId="0" fontId="45" fillId="0" borderId="19" xfId="0" applyFont="1" applyBorder="1" applyAlignment="1" applyProtection="1">
      <protection hidden="1"/>
    </xf>
    <xf numFmtId="0" fontId="107" fillId="13" borderId="11" xfId="0" applyFont="1" applyFill="1" applyBorder="1" applyAlignment="1" applyProtection="1">
      <alignment horizontal="right"/>
      <protection hidden="1"/>
    </xf>
    <xf numFmtId="168" fontId="43" fillId="15" borderId="38" xfId="0" applyNumberFormat="1" applyFont="1" applyFill="1" applyBorder="1" applyAlignment="1" applyProtection="1">
      <protection hidden="1"/>
    </xf>
    <xf numFmtId="0" fontId="43" fillId="15" borderId="37" xfId="0" applyFont="1" applyFill="1" applyBorder="1" applyAlignment="1" applyProtection="1">
      <protection hidden="1"/>
    </xf>
    <xf numFmtId="168" fontId="43" fillId="15" borderId="39" xfId="0" applyNumberFormat="1" applyFont="1" applyFill="1" applyBorder="1" applyAlignment="1" applyProtection="1">
      <protection hidden="1"/>
    </xf>
    <xf numFmtId="0" fontId="43" fillId="15" borderId="44" xfId="0" applyFont="1" applyFill="1" applyBorder="1" applyAlignment="1" applyProtection="1">
      <protection hidden="1"/>
    </xf>
    <xf numFmtId="168" fontId="43" fillId="15" borderId="40" xfId="0" applyNumberFormat="1" applyFont="1" applyFill="1" applyBorder="1" applyAlignment="1" applyProtection="1">
      <protection hidden="1"/>
    </xf>
    <xf numFmtId="0" fontId="43" fillId="15" borderId="45" xfId="0" applyFont="1" applyFill="1" applyBorder="1" applyAlignment="1" applyProtection="1">
      <protection hidden="1"/>
    </xf>
    <xf numFmtId="0" fontId="58" fillId="0" borderId="18" xfId="0" applyFont="1" applyFill="1" applyBorder="1" applyAlignment="1" applyProtection="1">
      <alignment horizontal="center"/>
      <protection hidden="1"/>
    </xf>
    <xf numFmtId="0" fontId="58" fillId="0" borderId="0" xfId="0" applyFont="1" applyFill="1" applyBorder="1" applyAlignment="1" applyProtection="1">
      <alignment horizontal="center"/>
      <protection hidden="1"/>
    </xf>
    <xf numFmtId="0" fontId="58" fillId="0" borderId="17" xfId="0" applyFont="1" applyFill="1" applyBorder="1" applyAlignment="1" applyProtection="1">
      <alignment horizontal="center"/>
      <protection hidden="1"/>
    </xf>
    <xf numFmtId="0" fontId="43" fillId="0" borderId="18" xfId="0" applyFont="1" applyFill="1" applyBorder="1" applyAlignment="1" applyProtection="1">
      <protection hidden="1"/>
    </xf>
    <xf numFmtId="0" fontId="45" fillId="0" borderId="17" xfId="0" applyFont="1" applyFill="1" applyBorder="1" applyAlignment="1" applyProtection="1">
      <alignment horizontal="left"/>
      <protection hidden="1"/>
    </xf>
    <xf numFmtId="0" fontId="35" fillId="0" borderId="18" xfId="0" applyFont="1" applyFill="1" applyBorder="1" applyAlignment="1" applyProtection="1">
      <protection hidden="1"/>
    </xf>
    <xf numFmtId="0" fontId="68" fillId="0" borderId="0" xfId="1" applyFont="1" applyFill="1" applyBorder="1" applyAlignment="1" applyProtection="1">
      <protection hidden="1"/>
    </xf>
    <xf numFmtId="0" fontId="35" fillId="0" borderId="17" xfId="0" applyFont="1" applyFill="1" applyBorder="1" applyAlignment="1" applyProtection="1">
      <protection hidden="1"/>
    </xf>
    <xf numFmtId="0" fontId="61" fillId="0" borderId="19" xfId="0" applyFont="1" applyFill="1" applyBorder="1" applyAlignment="1" applyProtection="1">
      <protection hidden="1"/>
    </xf>
    <xf numFmtId="0" fontId="61" fillId="0" borderId="11" xfId="0" applyFont="1" applyFill="1" applyBorder="1" applyAlignment="1" applyProtection="1">
      <protection hidden="1"/>
    </xf>
    <xf numFmtId="0" fontId="39" fillId="13" borderId="0" xfId="0" applyNumberFormat="1" applyFont="1" applyFill="1" applyAlignment="1"/>
    <xf numFmtId="0" fontId="0" fillId="0" borderId="0" xfId="0" applyNumberFormat="1" applyAlignment="1"/>
    <xf numFmtId="0" fontId="45" fillId="12" borderId="39" xfId="0" applyFont="1" applyFill="1" applyBorder="1" applyAlignment="1" applyProtection="1">
      <alignment horizontal="right" vertical="center"/>
      <protection hidden="1"/>
    </xf>
    <xf numFmtId="0" fontId="63" fillId="0" borderId="0" xfId="0" applyFont="1" applyFill="1" applyBorder="1" applyAlignment="1" applyProtection="1">
      <protection hidden="1"/>
    </xf>
    <xf numFmtId="0" fontId="61" fillId="0" borderId="0" xfId="0" applyFont="1" applyFill="1" applyBorder="1" applyAlignment="1" applyProtection="1">
      <protection hidden="1"/>
    </xf>
    <xf numFmtId="0" fontId="74" fillId="0" borderId="0" xfId="0" applyFont="1" applyFill="1" applyAlignment="1" applyProtection="1">
      <protection hidden="1"/>
    </xf>
    <xf numFmtId="0" fontId="74" fillId="0" borderId="0" xfId="0" applyFont="1" applyFill="1" applyBorder="1" applyAlignment="1" applyProtection="1">
      <alignment horizontal="left"/>
      <protection hidden="1"/>
    </xf>
    <xf numFmtId="2" fontId="74" fillId="0" borderId="0" xfId="0" applyNumberFormat="1" applyFont="1" applyFill="1" applyBorder="1" applyAlignment="1" applyProtection="1">
      <protection hidden="1"/>
    </xf>
    <xf numFmtId="0" fontId="85" fillId="0" borderId="0" xfId="0" applyFont="1" applyFill="1" applyAlignment="1"/>
    <xf numFmtId="0" fontId="45" fillId="0" borderId="46" xfId="0" applyFont="1" applyBorder="1" applyAlignment="1" applyProtection="1">
      <alignment horizontal="center" vertical="center" wrapText="1"/>
      <protection hidden="1"/>
    </xf>
    <xf numFmtId="0" fontId="45" fillId="13" borderId="49" xfId="0" applyFont="1" applyFill="1" applyBorder="1" applyAlignment="1" applyProtection="1">
      <alignment horizontal="center" vertical="center" wrapText="1"/>
      <protection hidden="1"/>
    </xf>
    <xf numFmtId="2" fontId="43" fillId="0" borderId="40" xfId="0" applyNumberFormat="1" applyFont="1" applyBorder="1" applyAlignment="1" applyProtection="1">
      <protection hidden="1"/>
    </xf>
    <xf numFmtId="0" fontId="43" fillId="0" borderId="40" xfId="0" applyFont="1" applyBorder="1" applyAlignment="1" applyProtection="1">
      <protection hidden="1"/>
    </xf>
    <xf numFmtId="169" fontId="43" fillId="15" borderId="40" xfId="0" applyNumberFormat="1" applyFont="1" applyFill="1" applyBorder="1" applyAlignment="1" applyProtection="1">
      <protection hidden="1"/>
    </xf>
    <xf numFmtId="0" fontId="43" fillId="15" borderId="40" xfId="0" applyFont="1" applyFill="1" applyBorder="1" applyAlignment="1" applyProtection="1">
      <protection hidden="1"/>
    </xf>
    <xf numFmtId="164" fontId="45" fillId="0" borderId="40" xfId="0" applyNumberFormat="1" applyFont="1" applyBorder="1" applyAlignment="1" applyProtection="1">
      <protection hidden="1"/>
    </xf>
    <xf numFmtId="0" fontId="45" fillId="0" borderId="40" xfId="0" applyFont="1" applyBorder="1" applyAlignment="1" applyProtection="1">
      <protection hidden="1"/>
    </xf>
    <xf numFmtId="1" fontId="43" fillId="0" borderId="47" xfId="0" applyNumberFormat="1" applyFont="1" applyBorder="1" applyAlignment="1" applyProtection="1">
      <alignment horizontal="center"/>
      <protection hidden="1"/>
    </xf>
    <xf numFmtId="0" fontId="43" fillId="13" borderId="40" xfId="0" applyFont="1" applyFill="1" applyBorder="1" applyAlignment="1" applyProtection="1">
      <alignment horizontal="center"/>
      <protection locked="0"/>
    </xf>
    <xf numFmtId="0" fontId="45" fillId="0" borderId="54" xfId="0" applyFont="1" applyFill="1" applyBorder="1" applyAlignment="1" applyProtection="1">
      <protection hidden="1"/>
    </xf>
    <xf numFmtId="0" fontId="43" fillId="0" borderId="55" xfId="0" applyFont="1" applyFill="1" applyBorder="1" applyAlignment="1" applyProtection="1">
      <protection hidden="1"/>
    </xf>
    <xf numFmtId="0" fontId="45" fillId="0" borderId="55" xfId="0" applyFont="1" applyFill="1" applyBorder="1" applyAlignment="1" applyProtection="1">
      <alignment horizontal="right"/>
      <protection hidden="1"/>
    </xf>
    <xf numFmtId="0" fontId="44" fillId="0" borderId="56" xfId="0" applyFont="1" applyFill="1" applyBorder="1" applyAlignment="1" applyProtection="1">
      <alignment horizontal="left"/>
      <protection hidden="1"/>
    </xf>
    <xf numFmtId="0" fontId="67" fillId="0" borderId="54" xfId="0" applyFont="1" applyFill="1" applyBorder="1" applyAlignment="1" applyProtection="1">
      <protection hidden="1"/>
    </xf>
    <xf numFmtId="0" fontId="45" fillId="0" borderId="55" xfId="0" applyFont="1" applyFill="1" applyBorder="1" applyAlignment="1" applyProtection="1">
      <protection hidden="1"/>
    </xf>
    <xf numFmtId="0" fontId="43" fillId="0" borderId="56" xfId="0" applyFont="1" applyFill="1" applyBorder="1" applyAlignment="1" applyProtection="1">
      <protection hidden="1"/>
    </xf>
    <xf numFmtId="0" fontId="43" fillId="0" borderId="66" xfId="0" applyFont="1" applyFill="1" applyBorder="1" applyAlignment="1" applyProtection="1">
      <alignment horizontal="left"/>
      <protection hidden="1"/>
    </xf>
    <xf numFmtId="0" fontId="45" fillId="0" borderId="0" xfId="0" applyFont="1" applyFill="1" applyBorder="1" applyAlignment="1" applyProtection="1">
      <alignment horizontal="right"/>
      <protection hidden="1"/>
    </xf>
    <xf numFmtId="0" fontId="45" fillId="0" borderId="67" xfId="0" applyFont="1" applyFill="1" applyBorder="1" applyAlignment="1" applyProtection="1">
      <protection hidden="1"/>
    </xf>
    <xf numFmtId="0" fontId="44" fillId="0" borderId="66" xfId="0" applyFont="1" applyFill="1" applyBorder="1" applyAlignment="1" applyProtection="1">
      <protection hidden="1"/>
    </xf>
    <xf numFmtId="0" fontId="47" fillId="0" borderId="0" xfId="0" applyFont="1" applyFill="1" applyBorder="1" applyAlignment="1" applyProtection="1">
      <protection hidden="1"/>
    </xf>
    <xf numFmtId="0" fontId="43" fillId="0" borderId="67" xfId="0" applyFont="1" applyFill="1" applyBorder="1" applyAlignment="1" applyProtection="1">
      <protection hidden="1"/>
    </xf>
    <xf numFmtId="1" fontId="45" fillId="0" borderId="0" xfId="0" applyNumberFormat="1" applyFont="1" applyFill="1" applyBorder="1" applyAlignment="1" applyProtection="1">
      <alignment horizontal="right"/>
      <protection hidden="1"/>
    </xf>
    <xf numFmtId="0" fontId="45" fillId="0" borderId="67" xfId="0" applyFont="1" applyFill="1" applyBorder="1" applyAlignment="1" applyProtection="1">
      <alignment horizontal="left"/>
      <protection hidden="1"/>
    </xf>
    <xf numFmtId="0" fontId="45" fillId="0" borderId="66" xfId="0" applyFont="1" applyFill="1" applyBorder="1" applyAlignment="1" applyProtection="1">
      <protection hidden="1"/>
    </xf>
    <xf numFmtId="0" fontId="43" fillId="0" borderId="69" xfId="0" applyFont="1" applyFill="1" applyBorder="1" applyAlignment="1" applyProtection="1">
      <protection hidden="1"/>
    </xf>
    <xf numFmtId="0" fontId="43" fillId="0" borderId="70" xfId="0" applyFont="1" applyFill="1" applyBorder="1" applyAlignment="1" applyProtection="1">
      <protection hidden="1"/>
    </xf>
    <xf numFmtId="0" fontId="47" fillId="0" borderId="70" xfId="0" applyFont="1" applyFill="1" applyBorder="1" applyAlignment="1" applyProtection="1">
      <protection hidden="1"/>
    </xf>
    <xf numFmtId="0" fontId="43" fillId="0" borderId="70" xfId="0" applyFont="1" applyFill="1" applyBorder="1" applyAlignment="1" applyProtection="1">
      <alignment horizontal="right"/>
      <protection hidden="1"/>
    </xf>
    <xf numFmtId="0" fontId="43" fillId="0" borderId="37" xfId="0" applyFont="1" applyFill="1" applyBorder="1" applyAlignment="1" applyProtection="1">
      <alignment horizontal="left"/>
      <protection hidden="1"/>
    </xf>
    <xf numFmtId="3" fontId="108" fillId="0" borderId="70" xfId="0" applyNumberFormat="1" applyFont="1" applyFill="1" applyBorder="1" applyAlignment="1" applyProtection="1">
      <alignment horizontal="right"/>
      <protection hidden="1"/>
    </xf>
    <xf numFmtId="0" fontId="75" fillId="0" borderId="70" xfId="0" applyFont="1" applyFill="1" applyBorder="1" applyAlignment="1" applyProtection="1">
      <alignment horizontal="center"/>
      <protection hidden="1"/>
    </xf>
    <xf numFmtId="0" fontId="75" fillId="0" borderId="37" xfId="0" applyFont="1" applyFill="1" applyBorder="1" applyAlignment="1" applyProtection="1">
      <protection hidden="1"/>
    </xf>
    <xf numFmtId="165" fontId="45" fillId="0" borderId="0" xfId="0" applyNumberFormat="1" applyFont="1" applyFill="1" applyBorder="1" applyAlignment="1" applyProtection="1">
      <alignment horizontal="right"/>
      <protection hidden="1"/>
    </xf>
    <xf numFmtId="164" fontId="45" fillId="0" borderId="0" xfId="0" applyNumberFormat="1" applyFont="1" applyFill="1" applyBorder="1" applyAlignment="1" applyProtection="1">
      <alignment horizontal="right"/>
      <protection hidden="1"/>
    </xf>
    <xf numFmtId="0" fontId="43" fillId="0" borderId="69" xfId="0" applyFont="1" applyFill="1" applyBorder="1" applyAlignment="1" applyProtection="1">
      <alignment horizontal="left"/>
      <protection hidden="1"/>
    </xf>
    <xf numFmtId="0" fontId="45" fillId="0" borderId="70" xfId="0" applyFont="1" applyFill="1" applyBorder="1" applyAlignment="1" applyProtection="1">
      <alignment horizontal="right"/>
      <protection hidden="1"/>
    </xf>
    <xf numFmtId="2" fontId="45" fillId="0" borderId="0" xfId="0" applyNumberFormat="1" applyFont="1" applyFill="1" applyBorder="1" applyAlignment="1" applyProtection="1">
      <alignment horizontal="right"/>
      <protection hidden="1"/>
    </xf>
    <xf numFmtId="0" fontId="109" fillId="0" borderId="69" xfId="0" applyFont="1" applyFill="1" applyBorder="1" applyAlignment="1" applyProtection="1">
      <protection hidden="1"/>
    </xf>
    <xf numFmtId="0" fontId="109" fillId="0" borderId="70" xfId="0" applyFont="1" applyFill="1" applyBorder="1" applyAlignment="1" applyProtection="1">
      <protection hidden="1"/>
    </xf>
    <xf numFmtId="164" fontId="109" fillId="0" borderId="70" xfId="0" applyNumberFormat="1" applyFont="1" applyFill="1" applyBorder="1" applyAlignment="1" applyProtection="1">
      <alignment horizontal="right"/>
      <protection hidden="1"/>
    </xf>
    <xf numFmtId="0" fontId="109" fillId="0" borderId="70" xfId="0" applyFont="1" applyFill="1" applyBorder="1" applyAlignment="1" applyProtection="1">
      <alignment horizontal="center"/>
      <protection hidden="1"/>
    </xf>
    <xf numFmtId="0" fontId="109" fillId="0" borderId="37" xfId="0" applyFont="1" applyFill="1" applyBorder="1" applyAlignment="1" applyProtection="1">
      <protection hidden="1"/>
    </xf>
    <xf numFmtId="0" fontId="104" fillId="0" borderId="41" xfId="0" applyFont="1" applyBorder="1" applyAlignment="1" applyProtection="1">
      <alignment horizontal="center" vertical="center" wrapText="1"/>
      <protection hidden="1"/>
    </xf>
    <xf numFmtId="0" fontId="104" fillId="0" borderId="51" xfId="0" applyFont="1" applyBorder="1" applyAlignment="1" applyProtection="1">
      <alignment horizontal="center" vertical="center" wrapText="1"/>
      <protection hidden="1"/>
    </xf>
    <xf numFmtId="0" fontId="104" fillId="0" borderId="47" xfId="0" applyFont="1" applyBorder="1" applyAlignment="1" applyProtection="1">
      <alignment horizontal="center" vertical="center" wrapText="1"/>
      <protection hidden="1"/>
    </xf>
    <xf numFmtId="0" fontId="104" fillId="0" borderId="52" xfId="0" applyFont="1" applyBorder="1" applyAlignment="1" applyProtection="1">
      <alignment horizontal="center" vertical="center" wrapText="1"/>
      <protection hidden="1"/>
    </xf>
    <xf numFmtId="0" fontId="104" fillId="0" borderId="36" xfId="0" applyFont="1" applyBorder="1" applyAlignment="1" applyProtection="1">
      <alignment horizontal="center" vertical="center" wrapText="1"/>
      <protection hidden="1"/>
    </xf>
    <xf numFmtId="0" fontId="104" fillId="0" borderId="64" xfId="0" applyFont="1" applyBorder="1" applyAlignment="1" applyProtection="1">
      <alignment horizontal="center" vertical="center" wrapText="1"/>
      <protection hidden="1"/>
    </xf>
    <xf numFmtId="0" fontId="110" fillId="0" borderId="52" xfId="0" applyFont="1" applyBorder="1" applyAlignment="1" applyProtection="1">
      <alignment horizontal="center" vertical="center" wrapText="1"/>
      <protection hidden="1"/>
    </xf>
    <xf numFmtId="0" fontId="104" fillId="0" borderId="53" xfId="0" applyFont="1" applyBorder="1" applyAlignment="1" applyProtection="1">
      <alignment horizontal="center" vertical="center" wrapText="1"/>
      <protection hidden="1"/>
    </xf>
    <xf numFmtId="0" fontId="104" fillId="0" borderId="59" xfId="0" applyFont="1" applyBorder="1" applyAlignment="1" applyProtection="1">
      <alignment horizontal="center" vertical="center" wrapText="1"/>
      <protection hidden="1"/>
    </xf>
    <xf numFmtId="0" fontId="104" fillId="0" borderId="26" xfId="0" applyFont="1" applyBorder="1" applyAlignment="1" applyProtection="1">
      <alignment horizontal="center" vertical="center" wrapText="1"/>
      <protection hidden="1"/>
    </xf>
    <xf numFmtId="0" fontId="104" fillId="0" borderId="2" xfId="0" applyFont="1" applyBorder="1" applyAlignment="1" applyProtection="1">
      <alignment horizontal="center" vertical="center" wrapText="1"/>
      <protection hidden="1"/>
    </xf>
    <xf numFmtId="0" fontId="104" fillId="0" borderId="3" xfId="0" applyFont="1" applyBorder="1" applyAlignment="1" applyProtection="1">
      <alignment horizontal="center" vertical="center" wrapText="1"/>
      <protection hidden="1"/>
    </xf>
    <xf numFmtId="0" fontId="110" fillId="0" borderId="4" xfId="0" applyFont="1" applyBorder="1" applyAlignment="1" applyProtection="1">
      <alignment horizontal="center" vertical="center" wrapText="1"/>
      <protection hidden="1"/>
    </xf>
    <xf numFmtId="0" fontId="110" fillId="0" borderId="6" xfId="0" applyFont="1" applyBorder="1" applyAlignment="1" applyProtection="1">
      <alignment horizontal="center" vertical="center" wrapText="1"/>
      <protection hidden="1"/>
    </xf>
    <xf numFmtId="0" fontId="110" fillId="0" borderId="47" xfId="0" applyFont="1" applyBorder="1" applyAlignment="1" applyProtection="1">
      <alignment horizontal="center" vertical="center" wrapText="1"/>
      <protection hidden="1"/>
    </xf>
    <xf numFmtId="0" fontId="104" fillId="0" borderId="71" xfId="0" applyFont="1" applyBorder="1" applyAlignment="1" applyProtection="1">
      <alignment horizontal="center" vertical="center" wrapText="1"/>
      <protection hidden="1"/>
    </xf>
    <xf numFmtId="0" fontId="90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04" fillId="0" borderId="0" xfId="0" applyFont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104" fillId="0" borderId="0" xfId="0" applyFont="1" applyAlignment="1" applyProtection="1">
      <alignment horizontal="left" wrapText="1"/>
      <protection hidden="1"/>
    </xf>
    <xf numFmtId="0" fontId="111" fillId="0" borderId="0" xfId="0" applyFont="1" applyAlignment="1" applyProtection="1">
      <alignment horizontal="right" textRotation="90"/>
      <protection hidden="1"/>
    </xf>
    <xf numFmtId="0" fontId="91" fillId="0" borderId="0" xfId="0" applyFont="1" applyAlignment="1">
      <alignment horizontal="left" wrapText="1"/>
    </xf>
    <xf numFmtId="0" fontId="108" fillId="0" borderId="0" xfId="0" applyFont="1" applyAlignment="1" applyProtection="1">
      <alignment horizontal="left" wrapText="1"/>
      <protection hidden="1"/>
    </xf>
    <xf numFmtId="164" fontId="111" fillId="0" borderId="0" xfId="0" applyNumberFormat="1" applyFont="1" applyAlignment="1" applyProtection="1">
      <alignment horizontal="center"/>
      <protection hidden="1"/>
    </xf>
    <xf numFmtId="0" fontId="111" fillId="0" borderId="0" xfId="0" applyFont="1" applyAlignment="1" applyProtection="1">
      <protection hidden="1"/>
    </xf>
    <xf numFmtId="14" fontId="98" fillId="0" borderId="0" xfId="0" applyNumberFormat="1" applyFont="1" applyAlignment="1" applyProtection="1">
      <alignment horizontal="center"/>
      <protection hidden="1"/>
    </xf>
    <xf numFmtId="0" fontId="92" fillId="15" borderId="19" xfId="0" applyFont="1" applyFill="1" applyBorder="1" applyAlignment="1" applyProtection="1">
      <alignment horizontal="center"/>
      <protection hidden="1"/>
    </xf>
    <xf numFmtId="0" fontId="104" fillId="0" borderId="19" xfId="0" applyFont="1" applyFill="1" applyBorder="1" applyAlignment="1" applyProtection="1">
      <protection hidden="1"/>
    </xf>
    <xf numFmtId="0" fontId="109" fillId="0" borderId="19" xfId="0" applyFont="1" applyFill="1" applyBorder="1" applyAlignment="1" applyProtection="1">
      <alignment vertical="center"/>
      <protection hidden="1"/>
    </xf>
    <xf numFmtId="0" fontId="104" fillId="0" borderId="10" xfId="0" applyFont="1" applyFill="1" applyBorder="1" applyAlignment="1" applyProtection="1">
      <alignment vertical="center"/>
      <protection hidden="1"/>
    </xf>
    <xf numFmtId="0" fontId="113" fillId="0" borderId="0" xfId="0" applyFont="1" applyAlignment="1" applyProtection="1">
      <protection hidden="1"/>
    </xf>
    <xf numFmtId="0" fontId="113" fillId="0" borderId="0" xfId="0" applyFont="1" applyAlignment="1" applyProtection="1">
      <alignment horizontal="center"/>
      <protection hidden="1"/>
    </xf>
    <xf numFmtId="0" fontId="113" fillId="0" borderId="0" xfId="0" applyFont="1" applyAlignment="1" applyProtection="1">
      <alignment horizontal="right"/>
      <protection hidden="1"/>
    </xf>
    <xf numFmtId="12" fontId="113" fillId="0" borderId="0" xfId="0" applyNumberFormat="1" applyFont="1" applyAlignment="1" applyProtection="1">
      <alignment horizontal="left"/>
      <protection hidden="1"/>
    </xf>
    <xf numFmtId="12" fontId="113" fillId="0" borderId="0" xfId="0" applyNumberFormat="1" applyFont="1" applyAlignment="1" applyProtection="1">
      <alignment horizontal="center"/>
      <protection hidden="1"/>
    </xf>
    <xf numFmtId="49" fontId="113" fillId="0" borderId="0" xfId="0" applyNumberFormat="1" applyFont="1" applyAlignment="1" applyProtection="1">
      <alignment horizontal="right"/>
      <protection hidden="1"/>
    </xf>
    <xf numFmtId="12" fontId="113" fillId="0" borderId="0" xfId="0" applyNumberFormat="1" applyFont="1" applyAlignment="1" applyProtection="1">
      <alignment horizontal="right"/>
      <protection hidden="1"/>
    </xf>
    <xf numFmtId="0" fontId="113" fillId="0" borderId="0" xfId="0" applyFont="1" applyAlignment="1" applyProtection="1">
      <alignment horizontal="left"/>
      <protection hidden="1"/>
    </xf>
    <xf numFmtId="0" fontId="18" fillId="0" borderId="0" xfId="1" applyFill="1" applyBorder="1" applyAlignment="1" applyProtection="1">
      <protection hidden="1"/>
    </xf>
    <xf numFmtId="0" fontId="35" fillId="0" borderId="0" xfId="0" applyFont="1" applyAlignment="1" applyProtection="1">
      <protection hidden="1"/>
    </xf>
    <xf numFmtId="0" fontId="0" fillId="0" borderId="0" xfId="0" applyAlignment="1"/>
    <xf numFmtId="0" fontId="104" fillId="0" borderId="30" xfId="0" applyFont="1" applyBorder="1" applyAlignment="1" applyProtection="1">
      <alignment horizontal="center" vertical="center"/>
      <protection hidden="1"/>
    </xf>
    <xf numFmtId="0" fontId="0" fillId="0" borderId="31" xfId="0" applyBorder="1" applyAlignment="1">
      <alignment horizontal="center" vertical="center"/>
    </xf>
    <xf numFmtId="0" fontId="104" fillId="0" borderId="21" xfId="0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4" fillId="0" borderId="7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0" fontId="104" fillId="0" borderId="46" xfId="0" applyFont="1" applyBorder="1" applyAlignment="1" applyProtection="1">
      <alignment horizontal="center" vertical="center"/>
      <protection hidden="1"/>
    </xf>
    <xf numFmtId="0" fontId="0" fillId="0" borderId="50" xfId="0" applyBorder="1" applyAlignment="1">
      <alignment horizontal="center" vertical="center"/>
    </xf>
    <xf numFmtId="0" fontId="45" fillId="0" borderId="49" xfId="0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45" fillId="15" borderId="49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vertical="center" wrapText="1"/>
      <protection hidden="1"/>
    </xf>
    <xf numFmtId="0" fontId="75" fillId="16" borderId="0" xfId="0" applyFont="1" applyFill="1" applyBorder="1" applyAlignment="1" applyProtection="1">
      <alignment horizontal="left"/>
      <protection hidden="1"/>
    </xf>
    <xf numFmtId="0" fontId="24" fillId="16" borderId="0" xfId="0" applyFont="1" applyFill="1" applyBorder="1" applyAlignment="1" applyProtection="1">
      <alignment horizontal="left"/>
      <protection hidden="1"/>
    </xf>
    <xf numFmtId="0" fontId="0" fillId="16" borderId="17" xfId="0" applyFill="1" applyBorder="1" applyAlignment="1" applyProtection="1">
      <alignment horizontal="left"/>
      <protection hidden="1"/>
    </xf>
    <xf numFmtId="0" fontId="58" fillId="15" borderId="0" xfId="0" applyFont="1" applyFill="1" applyAlignment="1" applyProtection="1">
      <protection hidden="1"/>
    </xf>
    <xf numFmtId="0" fontId="93" fillId="15" borderId="0" xfId="0" applyFont="1" applyFill="1" applyAlignment="1"/>
    <xf numFmtId="0" fontId="43" fillId="0" borderId="66" xfId="0" applyFont="1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45" fillId="0" borderId="21" xfId="0" applyFont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60" fillId="0" borderId="19" xfId="0" applyFont="1" applyBorder="1" applyAlignment="1" applyProtection="1">
      <alignment horizontal="right"/>
      <protection hidden="1"/>
    </xf>
    <xf numFmtId="0" fontId="60" fillId="0" borderId="11" xfId="0" applyFont="1" applyBorder="1" applyAlignment="1" applyProtection="1">
      <alignment horizontal="right"/>
      <protection hidden="1"/>
    </xf>
    <xf numFmtId="0" fontId="86" fillId="0" borderId="0" xfId="0" applyFont="1" applyAlignment="1" applyProtection="1">
      <protection hidden="1"/>
    </xf>
    <xf numFmtId="0" fontId="87" fillId="0" borderId="0" xfId="0" applyFont="1" applyAlignment="1" applyProtection="1">
      <protection hidden="1"/>
    </xf>
    <xf numFmtId="0" fontId="45" fillId="12" borderId="39" xfId="0" applyFont="1" applyFill="1" applyBorder="1" applyAlignment="1" applyProtection="1">
      <alignment horizontal="center"/>
      <protection hidden="1"/>
    </xf>
    <xf numFmtId="0" fontId="43" fillId="0" borderId="66" xfId="0" applyFont="1" applyFill="1" applyBorder="1" applyAlignment="1" applyProtection="1">
      <alignment horizontal="left"/>
      <protection hidden="1"/>
    </xf>
    <xf numFmtId="0" fontId="3" fillId="0" borderId="0" xfId="0" applyFont="1" applyFill="1" applyAlignment="1">
      <alignment horizontal="left"/>
    </xf>
    <xf numFmtId="0" fontId="3" fillId="0" borderId="67" xfId="0" applyFont="1" applyFill="1" applyBorder="1" applyAlignment="1">
      <alignment horizontal="left"/>
    </xf>
    <xf numFmtId="0" fontId="45" fillId="0" borderId="49" xfId="0" applyFont="1" applyFill="1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0" fontId="0" fillId="0" borderId="40" xfId="0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75" fillId="0" borderId="0" xfId="0" applyFont="1" applyFill="1" applyAlignment="1" applyProtection="1">
      <alignment horizontal="left"/>
      <protection hidden="1"/>
    </xf>
    <xf numFmtId="0" fontId="24" fillId="0" borderId="0" xfId="0" applyFont="1" applyAlignment="1">
      <alignment horizontal="left"/>
    </xf>
    <xf numFmtId="0" fontId="43" fillId="13" borderId="3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9" xfId="0" applyBorder="1" applyAlignment="1" applyProtection="1">
      <alignment horizontal="center"/>
      <protection hidden="1"/>
    </xf>
    <xf numFmtId="0" fontId="112" fillId="13" borderId="42" xfId="1" applyFont="1" applyFill="1" applyBorder="1" applyAlignment="1" applyProtection="1">
      <alignment horizontal="center" vertical="center"/>
      <protection hidden="1"/>
    </xf>
    <xf numFmtId="0" fontId="104" fillId="13" borderId="44" xfId="0" applyFont="1" applyFill="1" applyBorder="1" applyAlignment="1" applyProtection="1">
      <alignment horizontal="center" vertical="center"/>
      <protection hidden="1"/>
    </xf>
    <xf numFmtId="49" fontId="43" fillId="0" borderId="39" xfId="0" applyNumberFormat="1" applyFont="1" applyFill="1" applyBorder="1" applyAlignment="1" applyProtection="1">
      <alignment horizontal="right" vertical="center"/>
      <protection hidden="1"/>
    </xf>
    <xf numFmtId="0" fontId="43" fillId="0" borderId="39" xfId="0" applyFont="1" applyBorder="1" applyAlignment="1" applyProtection="1">
      <alignment horizontal="right" vertical="center"/>
      <protection hidden="1"/>
    </xf>
    <xf numFmtId="0" fontId="43" fillId="13" borderId="39" xfId="0" applyFont="1" applyFill="1" applyBorder="1" applyAlignment="1" applyProtection="1">
      <alignment horizontal="left" vertical="center"/>
      <protection locked="0"/>
    </xf>
    <xf numFmtId="0" fontId="75" fillId="0" borderId="19" xfId="0" applyFont="1" applyBorder="1" applyAlignment="1" applyProtection="1">
      <alignment horizontal="right"/>
      <protection hidden="1"/>
    </xf>
    <xf numFmtId="0" fontId="24" fillId="0" borderId="19" xfId="0" applyFont="1" applyBorder="1" applyAlignment="1" applyProtection="1">
      <alignment horizontal="right"/>
      <protection hidden="1"/>
    </xf>
    <xf numFmtId="0" fontId="45" fillId="14" borderId="42" xfId="0" applyFont="1" applyFill="1" applyBorder="1" applyAlignment="1" applyProtection="1">
      <alignment horizontal="center"/>
      <protection hidden="1"/>
    </xf>
    <xf numFmtId="0" fontId="2" fillId="14" borderId="24" xfId="0" applyFont="1" applyFill="1" applyBorder="1" applyAlignment="1" applyProtection="1">
      <alignment horizontal="center"/>
      <protection hidden="1"/>
    </xf>
    <xf numFmtId="0" fontId="45" fillId="0" borderId="46" xfId="0" applyFont="1" applyBorder="1" applyAlignment="1" applyProtection="1">
      <alignment horizontal="center"/>
      <protection hidden="1"/>
    </xf>
    <xf numFmtId="0" fontId="45" fillId="0" borderId="49" xfId="0" applyFont="1" applyBorder="1" applyAlignment="1" applyProtection="1">
      <alignment horizontal="center"/>
      <protection hidden="1"/>
    </xf>
    <xf numFmtId="0" fontId="60" fillId="0" borderId="19" xfId="0" applyFont="1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73" fillId="0" borderId="20" xfId="0" applyFont="1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76" fillId="15" borderId="62" xfId="0" applyFont="1" applyFill="1" applyBorder="1" applyAlignment="1" applyProtection="1">
      <alignment horizontal="left" vertical="center" wrapText="1" shrinkToFit="1"/>
      <protection hidden="1"/>
    </xf>
    <xf numFmtId="0" fontId="77" fillId="15" borderId="63" xfId="0" applyFont="1" applyFill="1" applyBorder="1" applyAlignment="1" applyProtection="1">
      <alignment horizontal="left" vertical="center" wrapText="1"/>
      <protection hidden="1"/>
    </xf>
    <xf numFmtId="0" fontId="72" fillId="12" borderId="12" xfId="0" applyFont="1" applyFill="1" applyBorder="1" applyAlignment="1" applyProtection="1">
      <alignment textRotation="90"/>
      <protection hidden="1"/>
    </xf>
    <xf numFmtId="0" fontId="4" fillId="12" borderId="13" xfId="0" applyFont="1" applyFill="1" applyBorder="1" applyAlignment="1" applyProtection="1">
      <alignment textRotation="90"/>
      <protection hidden="1"/>
    </xf>
    <xf numFmtId="0" fontId="4" fillId="12" borderId="26" xfId="0" applyFont="1" applyFill="1" applyBorder="1" applyAlignment="1" applyProtection="1">
      <alignment textRotation="90"/>
      <protection hidden="1"/>
    </xf>
    <xf numFmtId="14" fontId="43" fillId="13" borderId="42" xfId="0" applyNumberFormat="1" applyFont="1" applyFill="1" applyBorder="1" applyAlignment="1" applyProtection="1">
      <alignment horizontal="left" vertical="center" wrapText="1"/>
      <protection locked="0"/>
    </xf>
    <xf numFmtId="0" fontId="43" fillId="13" borderId="44" xfId="0" applyFont="1" applyFill="1" applyBorder="1" applyAlignment="1" applyProtection="1">
      <alignment horizontal="left" vertical="center" wrapText="1"/>
      <protection locked="0"/>
    </xf>
    <xf numFmtId="0" fontId="43" fillId="13" borderId="43" xfId="0" applyFont="1" applyFill="1" applyBorder="1" applyAlignment="1" applyProtection="1">
      <alignment horizontal="left" vertical="center" wrapText="1"/>
      <protection locked="0"/>
    </xf>
    <xf numFmtId="0" fontId="45" fillId="12" borderId="39" xfId="0" applyFont="1" applyFill="1" applyBorder="1" applyAlignment="1" applyProtection="1">
      <alignment horizontal="right" vertical="center"/>
      <protection hidden="1"/>
    </xf>
    <xf numFmtId="49" fontId="43" fillId="13" borderId="39" xfId="0" applyNumberFormat="1" applyFont="1" applyFill="1" applyBorder="1" applyAlignment="1" applyProtection="1">
      <alignment horizontal="left" vertical="center"/>
      <protection locked="0"/>
    </xf>
    <xf numFmtId="0" fontId="45" fillId="12" borderId="49" xfId="0" applyFont="1" applyFill="1" applyBorder="1" applyAlignment="1" applyProtection="1">
      <alignment horizontal="center"/>
      <protection hidden="1"/>
    </xf>
    <xf numFmtId="12" fontId="45" fillId="12" borderId="72" xfId="0" applyNumberFormat="1" applyFont="1" applyFill="1" applyBorder="1" applyAlignment="1" applyProtection="1">
      <alignment horizontal="center"/>
      <protection hidden="1"/>
    </xf>
    <xf numFmtId="12" fontId="45" fillId="12" borderId="32" xfId="0" applyNumberFormat="1" applyFont="1" applyFill="1" applyBorder="1" applyAlignment="1" applyProtection="1">
      <alignment horizontal="center"/>
      <protection hidden="1"/>
    </xf>
    <xf numFmtId="12" fontId="43" fillId="0" borderId="39" xfId="0" applyNumberFormat="1" applyFont="1" applyFill="1" applyBorder="1" applyAlignment="1" applyProtection="1">
      <alignment horizontal="right" vertical="center"/>
      <protection hidden="1"/>
    </xf>
    <xf numFmtId="12" fontId="45" fillId="13" borderId="39" xfId="0" applyNumberFormat="1" applyFont="1" applyFill="1" applyBorder="1" applyAlignment="1" applyProtection="1">
      <alignment horizontal="center" vertical="center"/>
      <protection locked="0"/>
    </xf>
    <xf numFmtId="0" fontId="45" fillId="12" borderId="49" xfId="0" applyFont="1" applyFill="1" applyBorder="1" applyAlignment="1" applyProtection="1">
      <protection hidden="1"/>
    </xf>
    <xf numFmtId="0" fontId="45" fillId="12" borderId="50" xfId="0" applyFont="1" applyFill="1" applyBorder="1" applyAlignment="1" applyProtection="1">
      <protection hidden="1"/>
    </xf>
    <xf numFmtId="0" fontId="45" fillId="13" borderId="39" xfId="0" applyNumberFormat="1" applyFont="1" applyFill="1" applyBorder="1" applyAlignment="1" applyProtection="1">
      <alignment horizontal="left" vertical="center" wrapText="1"/>
      <protection locked="0"/>
    </xf>
    <xf numFmtId="12" fontId="43" fillId="13" borderId="39" xfId="0" applyNumberFormat="1" applyFont="1" applyFill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12" fontId="18" fillId="13" borderId="39" xfId="1" applyNumberFormat="1" applyFill="1" applyBorder="1" applyAlignment="1" applyProtection="1">
      <alignment horizontal="left" vertical="center"/>
      <protection locked="0"/>
    </xf>
    <xf numFmtId="12" fontId="46" fillId="13" borderId="39" xfId="1" applyNumberFormat="1" applyFont="1" applyFill="1" applyBorder="1" applyAlignment="1" applyProtection="1">
      <alignment horizontal="left" vertical="center"/>
      <protection locked="0"/>
    </xf>
    <xf numFmtId="0" fontId="83" fillId="0" borderId="39" xfId="0" applyFont="1" applyFill="1" applyBorder="1" applyAlignment="1" applyProtection="1">
      <alignment horizontal="center" vertical="center"/>
      <protection hidden="1"/>
    </xf>
    <xf numFmtId="0" fontId="84" fillId="0" borderId="39" xfId="0" applyFont="1" applyBorder="1" applyAlignment="1" applyProtection="1">
      <alignment horizontal="center" vertical="center"/>
      <protection hidden="1"/>
    </xf>
    <xf numFmtId="14" fontId="98" fillId="0" borderId="0" xfId="0" applyNumberFormat="1" applyFont="1" applyAlignment="1" applyProtection="1">
      <alignment horizontal="center"/>
      <protection hidden="1"/>
    </xf>
    <xf numFmtId="0" fontId="113" fillId="0" borderId="0" xfId="0" applyFont="1" applyAlignment="1" applyProtection="1">
      <alignment horizontal="center"/>
      <protection hidden="1"/>
    </xf>
    <xf numFmtId="0" fontId="117" fillId="0" borderId="0" xfId="0" applyFont="1" applyAlignment="1" applyProtection="1">
      <alignment horizontal="center"/>
      <protection hidden="1"/>
    </xf>
    <xf numFmtId="0" fontId="80" fillId="0" borderId="66" xfId="0" applyFont="1" applyFill="1" applyBorder="1" applyAlignment="1" applyProtection="1">
      <alignment horizontal="right"/>
      <protection hidden="1"/>
    </xf>
    <xf numFmtId="0" fontId="81" fillId="0" borderId="0" xfId="0" applyFont="1" applyFill="1" applyBorder="1" applyAlignment="1" applyProtection="1">
      <alignment horizontal="right"/>
      <protection hidden="1"/>
    </xf>
    <xf numFmtId="0" fontId="75" fillId="0" borderId="69" xfId="0" applyFont="1" applyFill="1" applyBorder="1" applyAlignment="1" applyProtection="1">
      <alignment horizontal="right"/>
      <protection hidden="1"/>
    </xf>
    <xf numFmtId="0" fontId="24" fillId="0" borderId="70" xfId="0" applyFont="1" applyFill="1" applyBorder="1" applyAlignment="1">
      <alignment horizontal="right"/>
    </xf>
    <xf numFmtId="0" fontId="115" fillId="0" borderId="0" xfId="0" applyFont="1" applyAlignment="1" applyProtection="1">
      <alignment horizontal="right"/>
      <protection hidden="1"/>
    </xf>
    <xf numFmtId="0" fontId="116" fillId="0" borderId="0" xfId="0" applyFont="1" applyAlignment="1" applyProtection="1">
      <alignment horizontal="center" wrapText="1"/>
      <protection hidden="1"/>
    </xf>
    <xf numFmtId="0" fontId="103" fillId="0" borderId="0" xfId="0" applyFont="1" applyFill="1" applyBorder="1" applyAlignment="1" applyProtection="1">
      <alignment horizontal="center" wrapText="1"/>
      <protection hidden="1"/>
    </xf>
    <xf numFmtId="0" fontId="0" fillId="0" borderId="0" xfId="0" applyFont="1" applyAlignment="1" applyProtection="1">
      <alignment horizontal="center" wrapText="1"/>
      <protection hidden="1"/>
    </xf>
    <xf numFmtId="164" fontId="111" fillId="0" borderId="0" xfId="0" applyNumberFormat="1" applyFont="1" applyAlignment="1" applyProtection="1">
      <alignment horizontal="left" vertical="top" textRotation="90"/>
      <protection hidden="1"/>
    </xf>
    <xf numFmtId="164" fontId="114" fillId="0" borderId="0" xfId="0" applyNumberFormat="1" applyFont="1" applyAlignment="1">
      <alignment horizontal="left" vertical="top" textRotation="90"/>
    </xf>
    <xf numFmtId="0" fontId="9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4" fillId="0" borderId="32" xfId="0" applyFont="1" applyBorder="1" applyAlignment="1" applyProtection="1">
      <alignment horizontal="center" vertical="center"/>
      <protection hidden="1"/>
    </xf>
    <xf numFmtId="0" fontId="0" fillId="0" borderId="30" xfId="0" applyBorder="1" applyAlignment="1">
      <alignment horizontal="center" vertical="center"/>
    </xf>
    <xf numFmtId="0" fontId="41" fillId="15" borderId="19" xfId="0" applyFont="1" applyFill="1" applyBorder="1" applyAlignment="1" applyProtection="1">
      <alignment horizontal="right"/>
      <protection hidden="1"/>
    </xf>
    <xf numFmtId="0" fontId="0" fillId="15" borderId="19" xfId="0" applyFill="1" applyBorder="1" applyAlignment="1" applyProtection="1">
      <alignment horizontal="right"/>
      <protection hidden="1"/>
    </xf>
    <xf numFmtId="0" fontId="45" fillId="0" borderId="20" xfId="0" applyFont="1" applyFill="1" applyBorder="1" applyAlignment="1" applyProtection="1">
      <alignment horizontal="center" vertical="center" wrapText="1"/>
      <protection hidden="1"/>
    </xf>
    <xf numFmtId="0" fontId="45" fillId="0" borderId="16" xfId="0" applyFont="1" applyFill="1" applyBorder="1" applyAlignment="1" applyProtection="1">
      <alignment horizontal="center" vertical="center" wrapText="1"/>
      <protection hidden="1"/>
    </xf>
    <xf numFmtId="0" fontId="45" fillId="0" borderId="18" xfId="0" applyFont="1" applyFill="1" applyBorder="1" applyAlignment="1" applyProtection="1">
      <alignment horizontal="center" vertical="center" wrapText="1"/>
      <protection hidden="1"/>
    </xf>
    <xf numFmtId="0" fontId="45" fillId="0" borderId="17" xfId="0" applyFont="1" applyFill="1" applyBorder="1" applyAlignment="1" applyProtection="1">
      <alignment horizontal="center" vertical="center" wrapText="1"/>
      <protection hidden="1"/>
    </xf>
    <xf numFmtId="0" fontId="45" fillId="0" borderId="10" xfId="0" applyFont="1" applyFill="1" applyBorder="1" applyAlignment="1" applyProtection="1">
      <alignment horizontal="center" vertical="center" wrapText="1"/>
      <protection hidden="1"/>
    </xf>
    <xf numFmtId="0" fontId="45" fillId="0" borderId="11" xfId="0" applyFont="1" applyFill="1" applyBorder="1" applyAlignment="1" applyProtection="1">
      <alignment horizontal="center" vertical="center" wrapText="1"/>
      <protection hidden="1"/>
    </xf>
    <xf numFmtId="0" fontId="43" fillId="0" borderId="0" xfId="0" applyFont="1" applyFill="1" applyBorder="1" applyAlignment="1" applyProtection="1">
      <alignment horizontal="left" vertical="top" wrapText="1"/>
      <protection hidden="1"/>
    </xf>
    <xf numFmtId="0" fontId="78" fillId="0" borderId="0" xfId="0" applyFont="1" applyAlignment="1" applyProtection="1">
      <protection hidden="1"/>
    </xf>
    <xf numFmtId="0" fontId="79" fillId="0" borderId="0" xfId="0" applyFont="1" applyAlignment="1"/>
    <xf numFmtId="0" fontId="60" fillId="0" borderId="10" xfId="0" applyFont="1" applyBorder="1" applyAlignment="1" applyProtection="1">
      <alignment horizontal="left"/>
      <protection hidden="1"/>
    </xf>
    <xf numFmtId="0" fontId="43" fillId="0" borderId="0" xfId="0" applyFont="1" applyFill="1" applyBorder="1" applyAlignment="1" applyProtection="1">
      <alignment horizontal="center"/>
      <protection hidden="1"/>
    </xf>
    <xf numFmtId="0" fontId="43" fillId="0" borderId="67" xfId="0" applyFont="1" applyFill="1" applyBorder="1" applyAlignment="1" applyProtection="1">
      <alignment horizontal="center"/>
      <protection hidden="1"/>
    </xf>
    <xf numFmtId="0" fontId="43" fillId="0" borderId="70" xfId="0" applyFont="1" applyFill="1" applyBorder="1" applyAlignment="1" applyProtection="1">
      <alignment horizontal="center"/>
      <protection hidden="1"/>
    </xf>
    <xf numFmtId="0" fontId="43" fillId="0" borderId="37" xfId="0" applyFont="1" applyFill="1" applyBorder="1" applyAlignment="1" applyProtection="1">
      <alignment horizontal="center"/>
      <protection hidden="1"/>
    </xf>
    <xf numFmtId="0" fontId="43" fillId="0" borderId="39" xfId="0" applyFont="1" applyBorder="1" applyAlignment="1" applyProtection="1">
      <alignment horizontal="center"/>
      <protection hidden="1"/>
    </xf>
    <xf numFmtId="0" fontId="43" fillId="0" borderId="51" xfId="0" applyFont="1" applyBorder="1" applyAlignment="1" applyProtection="1">
      <alignment horizontal="center"/>
      <protection hidden="1"/>
    </xf>
    <xf numFmtId="0" fontId="107" fillId="12" borderId="42" xfId="0" applyFont="1" applyFill="1" applyBorder="1" applyAlignment="1" applyProtection="1">
      <alignment horizontal="center"/>
      <protection hidden="1"/>
    </xf>
    <xf numFmtId="0" fontId="118" fillId="0" borderId="24" xfId="0" applyFont="1" applyBorder="1" applyAlignment="1" applyProtection="1">
      <alignment horizontal="center"/>
      <protection hidden="1"/>
    </xf>
    <xf numFmtId="0" fontId="45" fillId="14" borderId="27" xfId="0" applyFont="1" applyFill="1" applyBorder="1" applyAlignment="1" applyProtection="1">
      <alignment horizontal="center"/>
      <protection hidden="1"/>
    </xf>
    <xf numFmtId="0" fontId="0" fillId="14" borderId="61" xfId="0" applyFill="1" applyBorder="1" applyAlignment="1" applyProtection="1">
      <alignment horizontal="center"/>
      <protection hidden="1"/>
    </xf>
    <xf numFmtId="0" fontId="0" fillId="14" borderId="23" xfId="0" applyFill="1" applyBorder="1" applyAlignment="1" applyProtection="1">
      <alignment horizontal="center"/>
      <protection hidden="1"/>
    </xf>
    <xf numFmtId="0" fontId="88" fillId="0" borderId="20" xfId="0" applyFont="1" applyFill="1" applyBorder="1" applyAlignment="1" applyProtection="1">
      <alignment horizontal="center" vertical="center"/>
      <protection hidden="1"/>
    </xf>
    <xf numFmtId="0" fontId="89" fillId="0" borderId="15" xfId="0" applyFont="1" applyFill="1" applyBorder="1" applyAlignment="1" applyProtection="1">
      <alignment horizontal="center" vertical="center"/>
      <protection hidden="1"/>
    </xf>
    <xf numFmtId="0" fontId="89" fillId="0" borderId="16" xfId="0" applyFont="1" applyFill="1" applyBorder="1" applyAlignment="1" applyProtection="1">
      <alignment horizontal="center" vertical="center"/>
      <protection hidden="1"/>
    </xf>
    <xf numFmtId="0" fontId="82" fillId="0" borderId="54" xfId="0" applyFont="1" applyFill="1" applyBorder="1" applyAlignment="1" applyProtection="1">
      <alignment wrapText="1"/>
      <protection hidden="1"/>
    </xf>
    <xf numFmtId="0" fontId="82" fillId="0" borderId="55" xfId="0" applyFont="1" applyFill="1" applyBorder="1" applyAlignment="1" applyProtection="1">
      <alignment wrapText="1"/>
      <protection hidden="1"/>
    </xf>
    <xf numFmtId="0" fontId="82" fillId="0" borderId="56" xfId="0" applyFont="1" applyFill="1" applyBorder="1" applyAlignment="1" applyProtection="1">
      <alignment wrapText="1"/>
      <protection hidden="1"/>
    </xf>
    <xf numFmtId="0" fontId="66" fillId="0" borderId="54" xfId="0" applyFont="1" applyFill="1" applyBorder="1" applyAlignment="1" applyProtection="1">
      <alignment vertical="center"/>
      <protection hidden="1"/>
    </xf>
    <xf numFmtId="0" fontId="66" fillId="0" borderId="55" xfId="0" applyFont="1" applyFill="1" applyBorder="1" applyAlignment="1" applyProtection="1">
      <alignment vertical="center"/>
      <protection hidden="1"/>
    </xf>
    <xf numFmtId="0" fontId="66" fillId="0" borderId="56" xfId="0" applyFont="1" applyFill="1" applyBorder="1" applyAlignment="1" applyProtection="1">
      <alignment vertical="center"/>
      <protection hidden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GRAF 1  Závislosť počtu ks Elwablokov od času trvania dažďa D a periodicity n dažďa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92358803986711"/>
          <c:y val="0.22191780821917809"/>
          <c:w val="0.8521594684385384"/>
          <c:h val="0.59178082191780812"/>
        </c:manualLayout>
      </c:layout>
      <c:lineChart>
        <c:grouping val="standard"/>
        <c:varyColors val="0"/>
        <c:ser>
          <c:idx val="0"/>
          <c:order val="0"/>
          <c:tx>
            <c:strRef>
              <c:f>Hárok1!$A$102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Hárok1!$B$101:$L$101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Hárok1!$B$102:$L$102</c:f>
              <c:numCache>
                <c:formatCode>0</c:formatCode>
                <c:ptCount val="11"/>
                <c:pt idx="0">
                  <c:v>109.21506629106041</c:v>
                </c:pt>
                <c:pt idx="1">
                  <c:v>144.6545188645712</c:v>
                </c:pt>
                <c:pt idx="2">
                  <c:v>165.21793058709056</c:v>
                </c:pt>
                <c:pt idx="3">
                  <c:v>177.67901893456295</c:v>
                </c:pt>
                <c:pt idx="4">
                  <c:v>193.31728450116233</c:v>
                </c:pt>
                <c:pt idx="5">
                  <c:v>201.02802131177657</c:v>
                </c:pt>
                <c:pt idx="6">
                  <c:v>205.7437257956822</c:v>
                </c:pt>
                <c:pt idx="7">
                  <c:v>205.28935486656874</c:v>
                </c:pt>
                <c:pt idx="8">
                  <c:v>201.83337163688236</c:v>
                </c:pt>
                <c:pt idx="9">
                  <c:v>198.90345292136473</c:v>
                </c:pt>
                <c:pt idx="10">
                  <c:v>183.41566499332782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4-46FE-8272-F06AED5921FF}"/>
            </c:ext>
          </c:extLst>
        </c:ser>
        <c:ser>
          <c:idx val="1"/>
          <c:order val="1"/>
          <c:tx>
            <c:strRef>
              <c:f>Hárok1!$A$103</c:f>
              <c:strCache>
                <c:ptCount val="1"/>
                <c:pt idx="0">
                  <c:v>0,5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Hárok1!$B$101:$L$101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Hárok1!$B$103:$L$103</c:f>
              <c:numCache>
                <c:formatCode>0</c:formatCode>
                <c:ptCount val="11"/>
                <c:pt idx="0">
                  <c:v>133.59342930245782</c:v>
                </c:pt>
                <c:pt idx="1">
                  <c:v>176.26775808662981</c:v>
                </c:pt>
                <c:pt idx="2">
                  <c:v>200.52090720826371</c:v>
                </c:pt>
                <c:pt idx="3">
                  <c:v>216.54630432649859</c:v>
                </c:pt>
                <c:pt idx="4">
                  <c:v>236.27668105697623</c:v>
                </c:pt>
                <c:pt idx="5">
                  <c:v>246.08602608855415</c:v>
                </c:pt>
                <c:pt idx="6">
                  <c:v>251.93109281103941</c:v>
                </c:pt>
                <c:pt idx="7">
                  <c:v>254.1677726919423</c:v>
                </c:pt>
                <c:pt idx="8">
                  <c:v>255.65560407338432</c:v>
                </c:pt>
                <c:pt idx="9">
                  <c:v>232.05402840825892</c:v>
                </c:pt>
                <c:pt idx="10">
                  <c:v>215.78313528626802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4-46FE-8272-F06AED5921FF}"/>
            </c:ext>
          </c:extLst>
        </c:ser>
        <c:ser>
          <c:idx val="2"/>
          <c:order val="2"/>
          <c:tx>
            <c:strRef>
              <c:f>Hárok1!$A$104</c:f>
              <c:strCache>
                <c:ptCount val="1"/>
                <c:pt idx="0">
                  <c:v>0,2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Hárok1!$B$101:$L$101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Hárok1!$B$104:$L$104</c:f>
              <c:numCache>
                <c:formatCode>0</c:formatCode>
                <c:ptCount val="11"/>
                <c:pt idx="0">
                  <c:v>168.21070477864214</c:v>
                </c:pt>
                <c:pt idx="1">
                  <c:v>223.20862844665623</c:v>
                </c:pt>
                <c:pt idx="2">
                  <c:v>254.18143167244696</c:v>
                </c:pt>
                <c:pt idx="3">
                  <c:v>272.07099774354958</c:v>
                </c:pt>
                <c:pt idx="4">
                  <c:v>295.34585132122021</c:v>
                </c:pt>
                <c:pt idx="5">
                  <c:v>305.00803233510942</c:v>
                </c:pt>
                <c:pt idx="6">
                  <c:v>310.71501446694856</c:v>
                </c:pt>
                <c:pt idx="7">
                  <c:v>312.82187408239054</c:v>
                </c:pt>
                <c:pt idx="8">
                  <c:v>309.47783650988623</c:v>
                </c:pt>
                <c:pt idx="9">
                  <c:v>298.3551793820472</c:v>
                </c:pt>
                <c:pt idx="10">
                  <c:v>269.72891910783505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84-46FE-8272-F06AED5921FF}"/>
            </c:ext>
          </c:extLst>
        </c:ser>
        <c:ser>
          <c:idx val="3"/>
          <c:order val="3"/>
          <c:tx>
            <c:strRef>
              <c:f>Hárok1!$A$105</c:f>
              <c:strCache>
                <c:ptCount val="1"/>
                <c:pt idx="0">
                  <c:v>0,1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Hárok1!$B$101:$L$101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Hárok1!$B$105:$L$105</c:f>
              <c:numCache>
                <c:formatCode>0</c:formatCode>
                <c:ptCount val="11"/>
                <c:pt idx="0">
                  <c:v>190.63879874912774</c:v>
                </c:pt>
                <c:pt idx="1">
                  <c:v>255.77984461483777</c:v>
                </c:pt>
                <c:pt idx="2">
                  <c:v>295.13288455300784</c:v>
                </c:pt>
                <c:pt idx="3">
                  <c:v>318.34157559109195</c:v>
                </c:pt>
                <c:pt idx="4">
                  <c:v>343.67517244651077</c:v>
                </c:pt>
                <c:pt idx="5">
                  <c:v>356.99803784677579</c:v>
                </c:pt>
                <c:pt idx="6">
                  <c:v>361.10123302915645</c:v>
                </c:pt>
                <c:pt idx="7">
                  <c:v>361.7002919077641</c:v>
                </c:pt>
                <c:pt idx="8">
                  <c:v>349.84451083726265</c:v>
                </c:pt>
                <c:pt idx="9">
                  <c:v>339.79339874066477</c:v>
                </c:pt>
                <c:pt idx="10">
                  <c:v>302.09638940077525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84-46FE-8272-F06AED5921FF}"/>
            </c:ext>
          </c:extLst>
        </c:ser>
        <c:ser>
          <c:idx val="4"/>
          <c:order val="4"/>
          <c:tx>
            <c:strRef>
              <c:f>Hárok1!$A$106</c:f>
              <c:strCache>
                <c:ptCount val="1"/>
                <c:pt idx="0">
                  <c:v>0,05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Hárok1!$B$101:$L$101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Hárok1!$B$106:$L$106</c:f>
              <c:numCache>
                <c:formatCode>0</c:formatCode>
                <c:ptCount val="11"/>
                <c:pt idx="0">
                  <c:v>211.60419093892952</c:v>
                </c:pt>
                <c:pt idx="1">
                  <c:v>285.47712994465041</c:v>
                </c:pt>
                <c:pt idx="2">
                  <c:v>329.02374210933414</c:v>
                </c:pt>
                <c:pt idx="3">
                  <c:v>355.35803786912589</c:v>
                </c:pt>
                <c:pt idx="4">
                  <c:v>389.31953128706306</c:v>
                </c:pt>
                <c:pt idx="5">
                  <c:v>402.05604262355314</c:v>
                </c:pt>
                <c:pt idx="6">
                  <c:v>403.08974849766309</c:v>
                </c:pt>
                <c:pt idx="7">
                  <c:v>400.80302616806284</c:v>
                </c:pt>
                <c:pt idx="8">
                  <c:v>383.48340611007649</c:v>
                </c:pt>
                <c:pt idx="9">
                  <c:v>372.94397422755901</c:v>
                </c:pt>
                <c:pt idx="10">
                  <c:v>334.46385969371551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84-46FE-8272-F06AED5921FF}"/>
            </c:ext>
          </c:extLst>
        </c:ser>
        <c:ser>
          <c:idx val="5"/>
          <c:order val="5"/>
          <c:tx>
            <c:strRef>
              <c:f>Hárok1!$A$107</c:f>
              <c:strCache>
                <c:ptCount val="1"/>
                <c:pt idx="0">
                  <c:v>0,033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Hárok1!$B$101:$L$101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Hárok1!$B$107:$L$107</c:f>
              <c:numCache>
                <c:formatCode>0</c:formatCode>
                <c:ptCount val="11"/>
                <c:pt idx="0">
                  <c:v>221.35553614348851</c:v>
                </c:pt>
                <c:pt idx="1">
                  <c:v>302.72071497486422</c:v>
                </c:pt>
                <c:pt idx="2">
                  <c:v>353.02976621173184</c:v>
                </c:pt>
                <c:pt idx="3">
                  <c:v>379.41873834984801</c:v>
                </c:pt>
                <c:pt idx="4">
                  <c:v>416.16915413444656</c:v>
                </c:pt>
                <c:pt idx="5">
                  <c:v>436.71604629799754</c:v>
                </c:pt>
                <c:pt idx="6">
                  <c:v>436.68056087246833</c:v>
                </c:pt>
                <c:pt idx="7">
                  <c:v>439.90576042836176</c:v>
                </c:pt>
                <c:pt idx="8">
                  <c:v>430.57785949201553</c:v>
                </c:pt>
                <c:pt idx="9">
                  <c:v>414.38219358617664</c:v>
                </c:pt>
                <c:pt idx="10">
                  <c:v>366.83132998665565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84-46FE-8272-F06AED5921FF}"/>
            </c:ext>
          </c:extLst>
        </c:ser>
        <c:ser>
          <c:idx val="6"/>
          <c:order val="6"/>
          <c:tx>
            <c:strRef>
              <c:f>Hárok1!$A$108</c:f>
              <c:strCache>
                <c:ptCount val="1"/>
                <c:pt idx="0">
                  <c:v>0,02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Hárok1!$B$101:$L$101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Hárok1!$B$108:$L$108</c:f>
              <c:numCache>
                <c:formatCode>0</c:formatCode>
                <c:ptCount val="11"/>
                <c:pt idx="0">
                  <c:v>226.23120874576799</c:v>
                </c:pt>
                <c:pt idx="1">
                  <c:v>314.21643832834002</c:v>
                </c:pt>
                <c:pt idx="2">
                  <c:v>364.32671873050725</c:v>
                </c:pt>
                <c:pt idx="3">
                  <c:v>392.37450014716001</c:v>
                </c:pt>
                <c:pt idx="4">
                  <c:v>429.59396555813851</c:v>
                </c:pt>
                <c:pt idx="5">
                  <c:v>454.04604813521951</c:v>
                </c:pt>
                <c:pt idx="6">
                  <c:v>461.87367015357222</c:v>
                </c:pt>
                <c:pt idx="7">
                  <c:v>464.34496934104851</c:v>
                </c:pt>
                <c:pt idx="8">
                  <c:v>450.76119665570388</c:v>
                </c:pt>
                <c:pt idx="9">
                  <c:v>439.24512520134726</c:v>
                </c:pt>
                <c:pt idx="10">
                  <c:v>399.19880027959596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84-46FE-8272-F06AED5921FF}"/>
            </c:ext>
          </c:extLst>
        </c:ser>
        <c:ser>
          <c:idx val="7"/>
          <c:order val="7"/>
          <c:tx>
            <c:strRef>
              <c:f>Hárok1!$A$109</c:f>
              <c:strCache>
                <c:ptCount val="1"/>
                <c:pt idx="0">
                  <c:v>0,01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Hárok1!$B$101:$L$101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Hárok1!$B$109:$L$109</c:f>
              <c:numCache>
                <c:formatCode>0</c:formatCode>
                <c:ptCount val="11"/>
                <c:pt idx="0">
                  <c:v>233.05715038895934</c:v>
                </c:pt>
                <c:pt idx="1">
                  <c:v>324.75418473569289</c:v>
                </c:pt>
                <c:pt idx="2">
                  <c:v>379.86002844382352</c:v>
                </c:pt>
                <c:pt idx="3">
                  <c:v>410.88273128617686</c:v>
                </c:pt>
                <c:pt idx="4">
                  <c:v>456.44358840552218</c:v>
                </c:pt>
                <c:pt idx="5">
                  <c:v>485.2400514422194</c:v>
                </c:pt>
                <c:pt idx="6">
                  <c:v>495.4644825283774</c:v>
                </c:pt>
                <c:pt idx="7">
                  <c:v>488.78417825373532</c:v>
                </c:pt>
                <c:pt idx="8">
                  <c:v>484.40009192851755</c:v>
                </c:pt>
                <c:pt idx="9">
                  <c:v>464.10805681651783</c:v>
                </c:pt>
                <c:pt idx="10">
                  <c:v>420.77711380822279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84-46FE-8272-F06AED592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426688"/>
        <c:axId val="205453568"/>
      </c:lineChart>
      <c:catAx>
        <c:axId val="20542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Dĺžka trvania dažďa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5453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453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Počet ks Elwablokov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5426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18764901180144"/>
          <c:y val="0.15138632153039619"/>
          <c:w val="0.79817809826926966"/>
          <c:h val="5.11728410806972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Objem objemu vody vytečeného pri 100 ročnom daždi cez bezpečnostné prepady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0310373601784"/>
          <c:y val="0.14860697963313105"/>
          <c:w val="0.71913232931919813"/>
          <c:h val="0.606811833501951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Hárok1!$A$144</c:f>
              <c:strCache>
                <c:ptCount val="1"/>
                <c:pt idx="0">
                  <c:v>1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Hárok1!$B$143:$L$143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xVal>
          <c:yVal>
            <c:numRef>
              <c:f>Hárok1!$B$144:$L$144</c:f>
              <c:numCache>
                <c:formatCode>0.0</c:formatCode>
                <c:ptCount val="11"/>
                <c:pt idx="0">
                  <c:v>25.466551737213464</c:v>
                </c:pt>
                <c:pt idx="1">
                  <c:v>36.941336643071139</c:v>
                </c:pt>
                <c:pt idx="2">
                  <c:v>43.979372534045275</c:v>
                </c:pt>
                <c:pt idx="3">
                  <c:v>47.770200289610528</c:v>
                </c:pt>
                <c:pt idx="4">
                  <c:v>53.85323967322929</c:v>
                </c:pt>
                <c:pt idx="5">
                  <c:v>58.118962560352756</c:v>
                </c:pt>
                <c:pt idx="6">
                  <c:v>59.250416819051843</c:v>
                </c:pt>
                <c:pt idx="7">
                  <c:v>58.002367613092694</c:v>
                </c:pt>
                <c:pt idx="8">
                  <c:v>57.794974299639406</c:v>
                </c:pt>
                <c:pt idx="9">
                  <c:v>54.304092532435227</c:v>
                </c:pt>
                <c:pt idx="10">
                  <c:v>48.637888452436961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ED-4ADF-948F-5780FEBDDBD6}"/>
            </c:ext>
          </c:extLst>
        </c:ser>
        <c:ser>
          <c:idx val="1"/>
          <c:order val="1"/>
          <c:tx>
            <c:strRef>
              <c:f>Hárok1!$A$145</c:f>
              <c:strCache>
                <c:ptCount val="1"/>
                <c:pt idx="0">
                  <c:v>0,5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Hárok1!$B$143:$L$143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xVal>
          <c:yVal>
            <c:numRef>
              <c:f>Hárok1!$B$145:$L$145</c:f>
              <c:numCache>
                <c:formatCode>0.0</c:formatCode>
                <c:ptCount val="11"/>
                <c:pt idx="0">
                  <c:v>20.744462821905785</c:v>
                </c:pt>
                <c:pt idx="1">
                  <c:v>30.817852205758392</c:v>
                </c:pt>
                <c:pt idx="2">
                  <c:v>37.141185962524034</c:v>
                </c:pt>
                <c:pt idx="3">
                  <c:v>40.2416071091926</c:v>
                </c:pt>
                <c:pt idx="4">
                  <c:v>45.532004560368136</c:v>
                </c:pt>
                <c:pt idx="5">
                  <c:v>49.391227035090942</c:v>
                </c:pt>
                <c:pt idx="6">
                  <c:v>50.303923828177147</c:v>
                </c:pt>
                <c:pt idx="7">
                  <c:v>48.534618080317841</c:v>
                </c:pt>
                <c:pt idx="8">
                  <c:v>47.369607876688981</c:v>
                </c:pt>
                <c:pt idx="9">
                  <c:v>47.88282606062382</c:v>
                </c:pt>
                <c:pt idx="10">
                  <c:v>42.368309456694448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3ED-4ADF-948F-5780FEBDDBD6}"/>
            </c:ext>
          </c:extLst>
        </c:ser>
        <c:ser>
          <c:idx val="2"/>
          <c:order val="2"/>
          <c:tx>
            <c:strRef>
              <c:f>Hárok1!$A$146</c:f>
              <c:strCache>
                <c:ptCount val="1"/>
                <c:pt idx="0">
                  <c:v>0,2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Hárok1!$B$143:$L$143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xVal>
          <c:yVal>
            <c:numRef>
              <c:f>Hárok1!$B$146:$L$146</c:f>
              <c:numCache>
                <c:formatCode>0.0</c:formatCode>
                <c:ptCount val="11"/>
                <c:pt idx="0">
                  <c:v>14.039096562168883</c:v>
                </c:pt>
                <c:pt idx="1">
                  <c:v>21.725405617021273</c:v>
                </c:pt>
                <c:pt idx="2">
                  <c:v>26.747142373811734</c:v>
                </c:pt>
                <c:pt idx="3">
                  <c:v>29.486473994309826</c:v>
                </c:pt>
                <c:pt idx="4">
                  <c:v>34.090306280184073</c:v>
                </c:pt>
                <c:pt idx="5">
                  <c:v>37.978034425133181</c:v>
                </c:pt>
                <c:pt idx="6">
                  <c:v>38.917478203427549</c:v>
                </c:pt>
                <c:pt idx="7">
                  <c:v>37.173318640988015</c:v>
                </c:pt>
                <c:pt idx="8">
                  <c:v>36.944241453738556</c:v>
                </c:pt>
                <c:pt idx="9">
                  <c:v>35.040293117001042</c:v>
                </c:pt>
                <c:pt idx="10">
                  <c:v>31.919011130456916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ED-4ADF-948F-5780FEBDDBD6}"/>
            </c:ext>
          </c:extLst>
        </c:ser>
        <c:ser>
          <c:idx val="3"/>
          <c:order val="3"/>
          <c:tx>
            <c:strRef>
              <c:f>Hárok1!$A$147</c:f>
              <c:strCache>
                <c:ptCount val="1"/>
                <c:pt idx="0">
                  <c:v>0,1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Hárok1!$B$143:$L$143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xVal>
          <c:yVal>
            <c:numRef>
              <c:f>Hárok1!$B$147:$L$147</c:f>
              <c:numCache>
                <c:formatCode>0.0</c:formatCode>
                <c:ptCount val="11"/>
                <c:pt idx="0">
                  <c:v>9.6947747600858207</c:v>
                </c:pt>
                <c:pt idx="1">
                  <c:v>15.416361045244502</c:v>
                </c:pt>
                <c:pt idx="2">
                  <c:v>18.81484595084709</c:v>
                </c:pt>
                <c:pt idx="3">
                  <c:v>20.523863065240857</c:v>
                </c:pt>
                <c:pt idx="4">
                  <c:v>24.728916778215297</c:v>
                </c:pt>
                <c:pt idx="5">
                  <c:v>27.907570357523408</c:v>
                </c:pt>
                <c:pt idx="6">
                  <c:v>29.157667667927878</c:v>
                </c:pt>
                <c:pt idx="7">
                  <c:v>27.705569108213155</c:v>
                </c:pt>
                <c:pt idx="8">
                  <c:v>29.125216636525749</c:v>
                </c:pt>
                <c:pt idx="9">
                  <c:v>27.013710027236812</c:v>
                </c:pt>
                <c:pt idx="10">
                  <c:v>25.649432134714392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ED-4ADF-948F-5780FEBDDBD6}"/>
            </c:ext>
          </c:extLst>
        </c:ser>
        <c:ser>
          <c:idx val="4"/>
          <c:order val="4"/>
          <c:tx>
            <c:strRef>
              <c:f>Hárok1!$A$148</c:f>
              <c:strCache>
                <c:ptCount val="1"/>
                <c:pt idx="0">
                  <c:v>0,05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Hárok1!$B$143:$L$143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xVal>
          <c:yVal>
            <c:numRef>
              <c:f>Hárok1!$B$148:$L$148</c:f>
              <c:numCache>
                <c:formatCode>0.0</c:formatCode>
                <c:ptCount val="11"/>
                <c:pt idx="0">
                  <c:v>5.6337782929212121</c:v>
                </c:pt>
                <c:pt idx="1">
                  <c:v>9.6639968768597928</c:v>
                </c:pt>
                <c:pt idx="2">
                  <c:v>12.250186842186697</c:v>
                </c:pt>
                <c:pt idx="3">
                  <c:v>13.353774321985689</c:v>
                </c:pt>
                <c:pt idx="4">
                  <c:v>15.887604470800319</c:v>
                </c:pt>
                <c:pt idx="5">
                  <c:v>19.17983483226163</c:v>
                </c:pt>
                <c:pt idx="6">
                  <c:v>21.024492221678145</c:v>
                </c:pt>
                <c:pt idx="7">
                  <c:v>20.131369481993289</c:v>
                </c:pt>
                <c:pt idx="8">
                  <c:v>22.60936262218172</c:v>
                </c:pt>
                <c:pt idx="9">
                  <c:v>20.592443555425398</c:v>
                </c:pt>
                <c:pt idx="10">
                  <c:v>19.379853138971871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3ED-4ADF-948F-5780FEBDDBD6}"/>
            </c:ext>
          </c:extLst>
        </c:ser>
        <c:ser>
          <c:idx val="5"/>
          <c:order val="5"/>
          <c:tx>
            <c:strRef>
              <c:f>Hárok1!$A$149</c:f>
              <c:strCache>
                <c:ptCount val="1"/>
                <c:pt idx="0">
                  <c:v>0,033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Hárok1!$B$143:$L$143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xVal>
          <c:yVal>
            <c:numRef>
              <c:f>Hárok1!$B$149:$L$149</c:f>
              <c:numCache>
                <c:formatCode>0.0</c:formatCode>
                <c:ptCount val="11"/>
                <c:pt idx="0">
                  <c:v>3.7449427267981421</c:v>
                </c:pt>
                <c:pt idx="1">
                  <c:v>6.3239144565073904</c:v>
                </c:pt>
                <c:pt idx="2">
                  <c:v>7.6002199735522478</c:v>
                </c:pt>
                <c:pt idx="3">
                  <c:v>8.6932166388698207</c:v>
                </c:pt>
                <c:pt idx="4">
                  <c:v>10.686832525262126</c:v>
                </c:pt>
                <c:pt idx="5">
                  <c:v>12.466192120521757</c:v>
                </c:pt>
                <c:pt idx="6">
                  <c:v>14.51795186467837</c:v>
                </c:pt>
                <c:pt idx="7">
                  <c:v>12.557169855773395</c:v>
                </c:pt>
                <c:pt idx="8">
                  <c:v>13.487167002100103</c:v>
                </c:pt>
                <c:pt idx="9">
                  <c:v>12.565860465661157</c:v>
                </c:pt>
                <c:pt idx="10">
                  <c:v>13.110274143229363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3ED-4ADF-948F-5780FEBDDBD6}"/>
            </c:ext>
          </c:extLst>
        </c:ser>
        <c:ser>
          <c:idx val="6"/>
          <c:order val="6"/>
          <c:tx>
            <c:strRef>
              <c:f>Hárok1!$A$150</c:f>
              <c:strCache>
                <c:ptCount val="1"/>
                <c:pt idx="0">
                  <c:v>0,02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Hárok1!$B$143:$L$143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xVal>
          <c:yVal>
            <c:numRef>
              <c:f>Hárok1!$B$150:$L$150</c:f>
              <c:numCache>
                <c:formatCode>0.0</c:formatCode>
                <c:ptCount val="11"/>
                <c:pt idx="0">
                  <c:v>2.8005249437366064</c:v>
                </c:pt>
                <c:pt idx="1">
                  <c:v>4.0971928429391182</c:v>
                </c:pt>
                <c:pt idx="2">
                  <c:v>5.4120002706654482</c:v>
                </c:pt>
                <c:pt idx="3">
                  <c:v>6.1836855787304881</c:v>
                </c:pt>
                <c:pt idx="4">
                  <c:v>8.0864465524929958</c:v>
                </c:pt>
                <c:pt idx="5">
                  <c:v>9.1093707646518478</c:v>
                </c:pt>
                <c:pt idx="6">
                  <c:v>9.6380465969285396</c:v>
                </c:pt>
                <c:pt idx="7">
                  <c:v>7.8232950893859705</c:v>
                </c:pt>
                <c:pt idx="8">
                  <c:v>9.5776545934936799</c:v>
                </c:pt>
                <c:pt idx="9">
                  <c:v>7.7499106118026102</c:v>
                </c:pt>
                <c:pt idx="10">
                  <c:v>6.8406951474868283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3ED-4ADF-948F-5780FEBDDBD6}"/>
            </c:ext>
          </c:extLst>
        </c:ser>
        <c:ser>
          <c:idx val="7"/>
          <c:order val="7"/>
          <c:tx>
            <c:strRef>
              <c:f>Hárok1!$A$151</c:f>
              <c:strCache>
                <c:ptCount val="1"/>
                <c:pt idx="0">
                  <c:v>0,01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Hárok1!$B$143:$L$143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xVal>
          <c:yVal>
            <c:numRef>
              <c:f>Hárok1!$B$151:$L$151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3ED-4ADF-948F-5780FEBDD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063872"/>
        <c:axId val="206078336"/>
      </c:scatterChart>
      <c:valAx>
        <c:axId val="206063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Doba dažďa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6078336"/>
        <c:crosses val="autoZero"/>
        <c:crossBetween val="midCat"/>
      </c:valAx>
      <c:valAx>
        <c:axId val="206078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objem vm3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60638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7109991589231173"/>
          <c:y val="0.25077427813090875"/>
          <c:w val="0.10854827612365257"/>
          <c:h val="0.569660088593669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000000000000011" r="0.75000000000000011" t="1" header="0.49212598450000006" footer="0.4921259845000000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sk-SK" sz="12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 </a:t>
            </a:r>
            <a:r>
              <a:rPr lang="sk-SK" sz="10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Počet ks /doba dažďa / periodicita</a:t>
            </a:r>
          </a:p>
        </c:rich>
      </c:tx>
      <c:layout>
        <c:manualLayout>
          <c:xMode val="edge"/>
          <c:yMode val="edge"/>
          <c:x val="0.21129121054990083"/>
          <c:y val="3.17745451310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84903186858392"/>
          <c:y val="0.28151318259499447"/>
          <c:w val="0.79697205543340277"/>
          <c:h val="0.529412850850288"/>
        </c:manualLayout>
      </c:layout>
      <c:lineChart>
        <c:grouping val="standard"/>
        <c:varyColors val="0"/>
        <c:ser>
          <c:idx val="1"/>
          <c:order val="0"/>
          <c:tx>
            <c:strRef>
              <c:f>'výpočet-ELWA SK Drenblok DB'!$C$61</c:f>
              <c:strCache>
                <c:ptCount val="1"/>
                <c:pt idx="0">
                  <c:v>2-roč. dážď</c:v>
                </c:pt>
              </c:strCache>
            </c:strRef>
          </c:tx>
          <c:spPr>
            <a:ln w="12700" cap="sq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 w="12700">
                <a:solidFill>
                  <a:srgbClr val="00B05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'výpočet-ELWA SK Drenblok DB'!$D$59:$N$59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'výpočet-ELWA SK Drenblok DB'!$D$61:$N$61</c:f>
              <c:numCache>
                <c:formatCode>0</c:formatCode>
                <c:ptCount val="11"/>
                <c:pt idx="0">
                  <c:v>13.052039087947886</c:v>
                </c:pt>
                <c:pt idx="1">
                  <c:v>17.360103225806455</c:v>
                </c:pt>
                <c:pt idx="2">
                  <c:v>19.903591054313097</c:v>
                </c:pt>
                <c:pt idx="3">
                  <c:v>21.658329113924051</c:v>
                </c:pt>
                <c:pt idx="4">
                  <c:v>23.979726708074537</c:v>
                </c:pt>
                <c:pt idx="5">
                  <c:v>25.324487804878046</c:v>
                </c:pt>
                <c:pt idx="6">
                  <c:v>26.270658682634732</c:v>
                </c:pt>
                <c:pt idx="7">
                  <c:v>26.839341176470587</c:v>
                </c:pt>
                <c:pt idx="8">
                  <c:v>26.470256983240226</c:v>
                </c:pt>
                <c:pt idx="9">
                  <c:v>26.136510638297871</c:v>
                </c:pt>
                <c:pt idx="10">
                  <c:v>25.556504854368931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92F-42C7-8869-64D8F6BC8C3A}"/>
            </c:ext>
          </c:extLst>
        </c:ser>
        <c:ser>
          <c:idx val="2"/>
          <c:order val="1"/>
          <c:tx>
            <c:strRef>
              <c:f>'výpočet-ELWA SK Drenblok DB'!$C$62</c:f>
              <c:strCache>
                <c:ptCount val="1"/>
                <c:pt idx="0">
                  <c:v>5-roč. dážď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'výpočet-ELWA SK Drenblok DB'!$D$59:$N$59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  <c:pt idx="10">
                  <c:v>180</c:v>
                </c:pt>
              </c:numCache>
            </c:numRef>
          </c:cat>
          <c:val>
            <c:numRef>
              <c:f>'výpočet-ELWA SK Drenblok DB'!$D$62:$N$62</c:f>
              <c:numCache>
                <c:formatCode>0</c:formatCode>
                <c:ptCount val="11"/>
                <c:pt idx="0">
                  <c:v>16.434136807817584</c:v>
                </c:pt>
                <c:pt idx="1">
                  <c:v>21.983174193548386</c:v>
                </c:pt>
                <c:pt idx="2">
                  <c:v>25.229904153354639</c:v>
                </c:pt>
                <c:pt idx="3">
                  <c:v>27.21174683544303</c:v>
                </c:pt>
                <c:pt idx="4">
                  <c:v>29.974658385093161</c:v>
                </c:pt>
                <c:pt idx="5">
                  <c:v>31.388097560975613</c:v>
                </c:pt>
                <c:pt idx="6">
                  <c:v>32.400479041916171</c:v>
                </c:pt>
                <c:pt idx="7">
                  <c:v>33.033035294117653</c:v>
                </c:pt>
                <c:pt idx="8">
                  <c:v>33.823106145251408</c:v>
                </c:pt>
                <c:pt idx="9">
                  <c:v>33.604085106382975</c:v>
                </c:pt>
                <c:pt idx="10">
                  <c:v>31.699421965317917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92F-42C7-8869-64D8F6BC8C3A}"/>
            </c:ext>
          </c:extLst>
        </c:ser>
        <c:ser>
          <c:idx val="0"/>
          <c:order val="2"/>
          <c:tx>
            <c:strRef>
              <c:f>'výpočet-ELWA SK Drenblok DB'!$C$63</c:f>
              <c:strCache>
                <c:ptCount val="1"/>
                <c:pt idx="0">
                  <c:v>10-roč. dážď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circ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'výpočet-ELWA SK Drenblok DB'!$D$63:$N$63</c:f>
              <c:numCache>
                <c:formatCode>0</c:formatCode>
                <c:ptCount val="11"/>
                <c:pt idx="0">
                  <c:v>18.62535504885993</c:v>
                </c:pt>
                <c:pt idx="1">
                  <c:v>25.191019354838712</c:v>
                </c:pt>
                <c:pt idx="2">
                  <c:v>29.294722044728431</c:v>
                </c:pt>
                <c:pt idx="3">
                  <c:v>31.839594936708856</c:v>
                </c:pt>
                <c:pt idx="4">
                  <c:v>34.879602484472052</c:v>
                </c:pt>
                <c:pt idx="5">
                  <c:v>36.738341463414635</c:v>
                </c:pt>
                <c:pt idx="6">
                  <c:v>37.654610778443107</c:v>
                </c:pt>
                <c:pt idx="7">
                  <c:v>38.194447058823535</c:v>
                </c:pt>
                <c:pt idx="8">
                  <c:v>38.234815642458109</c:v>
                </c:pt>
                <c:pt idx="9">
                  <c:v>38.271319148936158</c:v>
                </c:pt>
                <c:pt idx="10">
                  <c:v>35.779106796116501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2F-42C7-8869-64D8F6BC8C3A}"/>
            </c:ext>
          </c:extLst>
        </c:ser>
        <c:ser>
          <c:idx val="3"/>
          <c:order val="3"/>
          <c:tx>
            <c:strRef>
              <c:f>'výpočet-ELWA SK Drenblok DB'!$C$67</c:f>
              <c:strCache>
                <c:ptCount val="1"/>
                <c:pt idx="0">
                  <c:v>100-roč. dážď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'výpočet-ELWA SK Drenblok DB'!$D$67:$N$67</c:f>
              <c:numCache>
                <c:formatCode>0</c:formatCode>
                <c:ptCount val="11"/>
                <c:pt idx="0">
                  <c:v>22.769615635179154</c:v>
                </c:pt>
                <c:pt idx="1">
                  <c:v>31.984103225806443</c:v>
                </c:pt>
                <c:pt idx="2">
                  <c:v>37.704690095846644</c:v>
                </c:pt>
                <c:pt idx="3">
                  <c:v>41.095291139240501</c:v>
                </c:pt>
                <c:pt idx="4">
                  <c:v>46.32447204968944</c:v>
                </c:pt>
                <c:pt idx="5">
                  <c:v>49.935609756097556</c:v>
                </c:pt>
                <c:pt idx="6">
                  <c:v>51.665628742514961</c:v>
                </c:pt>
                <c:pt idx="7">
                  <c:v>53.162541176470583</c:v>
                </c:pt>
                <c:pt idx="8">
                  <c:v>52.940513966480452</c:v>
                </c:pt>
                <c:pt idx="9">
                  <c:v>52.273021276595742</c:v>
                </c:pt>
                <c:pt idx="10">
                  <c:v>49.835184466019413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2F-42C7-8869-64D8F6BC8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466240"/>
        <c:axId val="206111488"/>
      </c:lineChart>
      <c:catAx>
        <c:axId val="20546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Doba trvania dažďa</a:t>
                </a:r>
              </a:p>
            </c:rich>
          </c:tx>
          <c:layout>
            <c:manualLayout>
              <c:xMode val="edge"/>
              <c:yMode val="edge"/>
              <c:x val="0.40230330964726985"/>
              <c:y val="0.9223706570576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6111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6111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 sz="1000" b="1" i="0" u="none" strike="noStrike" baseline="0">
                    <a:solidFill>
                      <a:srgbClr val="0000FF"/>
                    </a:solidFill>
                    <a:latin typeface="Arial"/>
                    <a:cs typeface="Arial"/>
                  </a:rPr>
                  <a:t>Počet  vsakovacich  blokov  DRENBLOK </a:t>
                </a:r>
                <a:r>
                  <a:rPr lang="sk-SK" sz="1000" b="1" i="0" u="none" strike="noStrike" baseline="30000">
                    <a:solidFill>
                      <a:srgbClr val="0000FF"/>
                    </a:solidFill>
                    <a:latin typeface="Arial"/>
                    <a:cs typeface="Arial"/>
                  </a:rPr>
                  <a:t>®</a:t>
                </a:r>
              </a:p>
            </c:rich>
          </c:tx>
          <c:layout>
            <c:manualLayout>
              <c:xMode val="edge"/>
              <c:yMode val="edge"/>
              <c:x val="2.998847705012484E-3"/>
              <c:y val="0.183100671738066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0546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420837075292456"/>
          <c:y val="0.15100751555687913"/>
          <c:w val="0.82269693478717587"/>
          <c:h val="0.114094567309642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0.75000000000000011" l="0.25" r="0.25" t="0.75000000000000011" header="0.30000000000000004" footer="0.3000000000000000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Prebytočná voda pri 100 ročnom daždi</a:t>
            </a:r>
          </a:p>
        </c:rich>
      </c:tx>
      <c:layout>
        <c:manualLayout>
          <c:xMode val="edge"/>
          <c:yMode val="edge"/>
          <c:x val="0.16671168425928184"/>
          <c:y val="4.29029988272742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95046439628485"/>
          <c:y val="0.29114044015542656"/>
          <c:w val="0.7554179566563467"/>
          <c:h val="0.56118374696625672"/>
        </c:manualLayout>
      </c:layout>
      <c:lineChart>
        <c:grouping val="standard"/>
        <c:varyColors val="0"/>
        <c:ser>
          <c:idx val="1"/>
          <c:order val="0"/>
          <c:tx>
            <c:strRef>
              <c:f>'výpočet-ELWA SK Drenblok DB'!$C$100</c:f>
              <c:strCache>
                <c:ptCount val="1"/>
                <c:pt idx="0">
                  <c:v>2 roč. dážď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'výpočet-ELWA SK Drenblok DB'!$D$99:$M$99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</c:numCache>
            </c:numRef>
          </c:cat>
          <c:val>
            <c:numRef>
              <c:f>'výpočet-ELWA SK Drenblok DB'!$D$100:$N$100</c:f>
              <c:numCache>
                <c:formatCode>0.0</c:formatCode>
                <c:ptCount val="11"/>
                <c:pt idx="0">
                  <c:v>2.1700471661237777</c:v>
                </c:pt>
                <c:pt idx="1">
                  <c:v>3.2443743483870953</c:v>
                </c:pt>
                <c:pt idx="2">
                  <c:v>3.939212012779552</c:v>
                </c:pt>
                <c:pt idx="3">
                  <c:v>4.298480658227847</c:v>
                </c:pt>
                <c:pt idx="4">
                  <c:v>4.9343965714285716</c:v>
                </c:pt>
                <c:pt idx="5">
                  <c:v>5.4284724878048767</c:v>
                </c:pt>
                <c:pt idx="6">
                  <c:v>5.6009770059880228</c:v>
                </c:pt>
                <c:pt idx="7">
                  <c:v>5.8033939764705869</c:v>
                </c:pt>
                <c:pt idx="8">
                  <c:v>5.833912625698324</c:v>
                </c:pt>
                <c:pt idx="9">
                  <c:v>5.7606970212765951</c:v>
                </c:pt>
                <c:pt idx="10">
                  <c:v>5.3574479999999989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F27-4BE6-B82C-317B49F788B2}"/>
            </c:ext>
          </c:extLst>
        </c:ser>
        <c:ser>
          <c:idx val="2"/>
          <c:order val="1"/>
          <c:tx>
            <c:strRef>
              <c:f>'výpočet-ELWA SK Drenblok DB'!$C$101</c:f>
              <c:strCache>
                <c:ptCount val="1"/>
                <c:pt idx="0">
                  <c:v>5-roč. dážď</c:v>
                </c:pt>
              </c:strCache>
            </c:strRef>
          </c:tx>
          <c:spPr>
            <a:ln w="28575">
              <a:solidFill>
                <a:srgbClr val="00B0F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 w="12700">
                <a:solidFill>
                  <a:srgbClr val="0070C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'výpočet-ELWA SK Drenblok DB'!$D$99:$M$99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</c:numCache>
            </c:numRef>
          </c:cat>
          <c:val>
            <c:numRef>
              <c:f>'výpočet-ELWA SK Drenblok DB'!$D$101:$N$101</c:f>
              <c:numCache>
                <c:formatCode>0.0</c:formatCode>
                <c:ptCount val="11"/>
                <c:pt idx="0">
                  <c:v>1.4509286384364826</c:v>
                </c:pt>
                <c:pt idx="1">
                  <c:v>2.2613938838709671</c:v>
                </c:pt>
                <c:pt idx="2">
                  <c:v>2.8067046900958443</c:v>
                </c:pt>
                <c:pt idx="3">
                  <c:v>3.1176852151898728</c:v>
                </c:pt>
                <c:pt idx="4">
                  <c:v>3.6597242236024861</c:v>
                </c:pt>
                <c:pt idx="5">
                  <c:v>4.1391974634146322</c:v>
                </c:pt>
                <c:pt idx="6">
                  <c:v>4.2976239520958064</c:v>
                </c:pt>
                <c:pt idx="7">
                  <c:v>4.4864597647058799</c:v>
                </c:pt>
                <c:pt idx="8">
                  <c:v>4.2705130726256968</c:v>
                </c:pt>
                <c:pt idx="9">
                  <c:v>4.1729039999999999</c:v>
                </c:pt>
                <c:pt idx="10">
                  <c:v>4.0513102492844713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F27-4BE6-B82C-317B49F788B2}"/>
            </c:ext>
          </c:extLst>
        </c:ser>
        <c:ser>
          <c:idx val="3"/>
          <c:order val="2"/>
          <c:tx>
            <c:strRef>
              <c:f>'výpočet-ELWA SK Drenblok DB'!$C$102</c:f>
              <c:strCache>
                <c:ptCount val="1"/>
                <c:pt idx="0">
                  <c:v>10-roč. dážď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circle"/>
            <c:size val="5"/>
            <c:spPr>
              <a:solidFill>
                <a:srgbClr val="0070C0"/>
              </a:solidFill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'výpočet-ELWA SK Drenblok DB'!$D$99:$M$99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30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90</c:v>
                </c:pt>
                <c:pt idx="9">
                  <c:v>120</c:v>
                </c:pt>
              </c:numCache>
            </c:numRef>
          </c:cat>
          <c:val>
            <c:numRef>
              <c:f>'výpočet-ELWA SK Drenblok DB'!$D$102:$N$102</c:f>
              <c:numCache>
                <c:formatCode>0.0</c:formatCode>
                <c:ptCount val="11"/>
                <c:pt idx="0">
                  <c:v>0.98502085993485333</c:v>
                </c:pt>
                <c:pt idx="1">
                  <c:v>1.5793258064516114</c:v>
                </c:pt>
                <c:pt idx="2">
                  <c:v>1.9424227859424916</c:v>
                </c:pt>
                <c:pt idx="3">
                  <c:v>2.1336890126582273</c:v>
                </c:pt>
                <c:pt idx="4">
                  <c:v>2.6168104844720501</c:v>
                </c:pt>
                <c:pt idx="5">
                  <c:v>3.0016018536585349</c:v>
                </c:pt>
                <c:pt idx="6">
                  <c:v>3.1804641916167662</c:v>
                </c:pt>
                <c:pt idx="7">
                  <c:v>3.3890145882352911</c:v>
                </c:pt>
                <c:pt idx="8">
                  <c:v>3.3324733407821228</c:v>
                </c:pt>
                <c:pt idx="9">
                  <c:v>3.1805333617021292</c:v>
                </c:pt>
                <c:pt idx="10">
                  <c:v>3.1838672621359221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F27-4BE6-B82C-317B49F78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22720"/>
        <c:axId val="122624256"/>
      </c:lineChart>
      <c:catAx>
        <c:axId val="1226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Doba trvania dažďa</a:t>
                </a:r>
              </a:p>
            </c:rich>
          </c:tx>
          <c:layout>
            <c:manualLayout>
              <c:xMode val="edge"/>
              <c:yMode val="edge"/>
              <c:x val="0.37848419102410968"/>
              <c:y val="0.928625453733177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2262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624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k-SK" sz="1000" b="1" i="0" u="none" strike="noStrike" baseline="0">
                    <a:solidFill>
                      <a:srgbClr val="0000FF"/>
                    </a:solidFill>
                    <a:latin typeface="Arial"/>
                    <a:cs typeface="Arial"/>
                  </a:rPr>
                  <a:t>Objem prebytočnej vody (m</a:t>
                </a:r>
                <a:r>
                  <a:rPr lang="sk-SK" sz="1000" b="1" i="0" u="none" strike="noStrike" baseline="30000">
                    <a:solidFill>
                      <a:srgbClr val="0000FF"/>
                    </a:solidFill>
                    <a:latin typeface="Arial"/>
                    <a:cs typeface="Arial"/>
                  </a:rPr>
                  <a:t>3</a:t>
                </a:r>
                <a:r>
                  <a:rPr lang="sk-SK" sz="1000" b="1" i="0" u="none" strike="noStrike" baseline="0">
                    <a:solidFill>
                      <a:srgbClr val="0000FF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4.1152905422425917E-3"/>
              <c:y val="0.2221942257217847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22622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0.16183598738369026"/>
          <c:y val="0.15202759129223042"/>
          <c:w val="0.80917993691845136"/>
          <c:h val="0.10473011844575873"/>
        </c:manualLayout>
      </c:layout>
      <c:overlay val="0"/>
      <c:spPr>
        <a:ln>
          <a:solidFill>
            <a:srgbClr val="000000"/>
          </a:solidFill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000000000000011" r="0.75000000000000011" t="1" header="0.49212598450000006" footer="0.49212598450000006"/>
    <c:pageSetup orientation="portrait"/>
  </c:printSettings>
  <c:userShapes r:id="rId1"/>
</c:chartSpace>
</file>

<file path=xl/ctrlProps/ctrlProp1.xml><?xml version="1.0" encoding="utf-8"?>
<formControlPr xmlns="http://schemas.microsoft.com/office/spreadsheetml/2009/9/main" objectType="Drop" dropLines="15" dropStyle="combo" dx="26" fmlaLink="mesta!$J$1" fmlaRange="mesta!$I$2:$I$9" sel="3" val="0"/>
</file>

<file path=xl/ctrlProps/ctrlProp10.xml><?xml version="1.0" encoding="utf-8"?>
<formControlPr xmlns="http://schemas.microsoft.com/office/spreadsheetml/2009/9/main" objectType="Drop" dropLines="19" dropStyle="combo" dx="26" fmlaLink="mesta!$G$27" fmlaRange="mesta!$E$24:$E$42" noThreeD="1" sel="1" val="0"/>
</file>

<file path=xl/ctrlProps/ctrlProp11.xml><?xml version="1.0" encoding="utf-8"?>
<formControlPr xmlns="http://schemas.microsoft.com/office/spreadsheetml/2009/9/main" objectType="Drop" dropLines="19" dropStyle="combo" dx="26" fmlaLink="mesta!$G$28" fmlaRange="mesta!$E$24:$E$42" noThreeD="1" sel="1" val="0"/>
</file>

<file path=xl/ctrlProps/ctrlProp12.xml><?xml version="1.0" encoding="utf-8"?>
<formControlPr xmlns="http://schemas.microsoft.com/office/spreadsheetml/2009/9/main" objectType="Drop" dropLines="19" dropStyle="combo" dx="26" fmlaLink="mesta!$G$29" fmlaRange="mesta!$E$24:$E$42" noThreeD="1" sel="1" val="0"/>
</file>

<file path=xl/ctrlProps/ctrlProp13.xml><?xml version="1.0" encoding="utf-8"?>
<formControlPr xmlns="http://schemas.microsoft.com/office/spreadsheetml/2009/9/main" objectType="Drop" dropLines="19" dropStyle="combo" dx="26" fmlaLink="mesta!$G$30" fmlaRange="mesta!$E$24:$E$42" noThreeD="1" sel="1" val="0"/>
</file>

<file path=xl/ctrlProps/ctrlProp14.xml><?xml version="1.0" encoding="utf-8"?>
<formControlPr xmlns="http://schemas.microsoft.com/office/spreadsheetml/2009/9/main" objectType="Drop" dropLines="30" dropStyle="combo" dx="26" fmlaLink="mesta!$C$1" fmlaRange="mesta!$B$2:$B$69" sel="3" val="0"/>
</file>

<file path=xl/ctrlProps/ctrlProp15.xml><?xml version="1.0" encoding="utf-8"?>
<formControlPr xmlns="http://schemas.microsoft.com/office/spreadsheetml/2009/9/main" objectType="Drop" dropLines="5" dropStyle="combo" dx="26" fmlaLink="mesta!$J$28" fmlaRange="mesta!$I$29:$I$33" sel="5" val="0"/>
</file>

<file path=xl/ctrlProps/ctrlProp16.xml><?xml version="1.0" encoding="utf-8"?>
<formControlPr xmlns="http://schemas.microsoft.com/office/spreadsheetml/2009/9/main" objectType="Drop" dropLines="19" dropStyle="combo" dx="26" fmlaLink="mesta!$G$31" fmlaRange="mesta!$E$24:$E$42" noThreeD="1" sel="1" val="0"/>
</file>

<file path=xl/ctrlProps/ctrlProp17.xml><?xml version="1.0" encoding="utf-8"?>
<formControlPr xmlns="http://schemas.microsoft.com/office/spreadsheetml/2009/9/main" objectType="Drop" dropLines="7" dropStyle="combo" dx="26" fmlaLink="mesta!$J$37" fmlaRange="mesta!$I$39:$I$45" sel="7" val="0"/>
</file>

<file path=xl/ctrlProps/ctrlProp2.xml><?xml version="1.0" encoding="utf-8"?>
<formControlPr xmlns="http://schemas.microsoft.com/office/spreadsheetml/2009/9/main" objectType="Drop" dropLines="11" dropStyle="combo" dx="26" fmlaLink="mesta!$G$1" fmlaRange="mesta!$E$2:$E$12" sel="7" val="0"/>
</file>

<file path=xl/ctrlProps/ctrlProp3.xml><?xml version="1.0" encoding="utf-8"?>
<formControlPr xmlns="http://schemas.microsoft.com/office/spreadsheetml/2009/9/main" objectType="Drop" dropLines="5" dropStyle="combo" dx="26" fmlaLink="mesta!$F$15" fmlaRange="mesta!$E$16:$E$20" sel="2" val="0"/>
</file>

<file path=xl/ctrlProps/ctrlProp4.xml><?xml version="1.0" encoding="utf-8"?>
<formControlPr xmlns="http://schemas.microsoft.com/office/spreadsheetml/2009/9/main" objectType="Drop" dropLines="5" dropStyle="combo" dx="26" fmlaLink="mesta!$J$15" fmlaRange="mesta!$I$16:$I$20" sel="5" val="0"/>
</file>

<file path=xl/ctrlProps/ctrlProp5.xml><?xml version="1.0" encoding="utf-8"?>
<formControlPr xmlns="http://schemas.microsoft.com/office/spreadsheetml/2009/9/main" objectType="Drop" dropLines="29" dropStyle="combo" dx="26" fmlaLink="mesta!$M$4" fmlaRange="mesta!$L$5:$L$33" noThreeD="1" sel="15" val="0"/>
</file>

<file path=xl/ctrlProps/ctrlProp6.xml><?xml version="1.0" encoding="utf-8"?>
<formControlPr xmlns="http://schemas.microsoft.com/office/spreadsheetml/2009/9/main" objectType="Drop" dropLines="40" dropStyle="combo" dx="26" fmlaLink="mesta!$O$4" fmlaRange="mesta!$N$5:$N$33" sel="4" val="0"/>
</file>

<file path=xl/ctrlProps/ctrlProp7.xml><?xml version="1.0" encoding="utf-8"?>
<formControlPr xmlns="http://schemas.microsoft.com/office/spreadsheetml/2009/9/main" objectType="Drop" dropLines="19" dropStyle="combo" dx="26" fmlaLink="mesta!$G$24" fmlaRange="mesta!$E$24:$E$42" noThreeD="1" sel="9" val="0"/>
</file>

<file path=xl/ctrlProps/ctrlProp8.xml><?xml version="1.0" encoding="utf-8"?>
<formControlPr xmlns="http://schemas.microsoft.com/office/spreadsheetml/2009/9/main" objectType="Drop" dropLines="19" dropStyle="combo" dx="26" fmlaLink="mesta!$G$25" fmlaRange="mesta!$E$24:$E$42" noThreeD="1" sel="9" val="0"/>
</file>

<file path=xl/ctrlProps/ctrlProp9.xml><?xml version="1.0" encoding="utf-8"?>
<formControlPr xmlns="http://schemas.microsoft.com/office/spreadsheetml/2009/9/main" objectType="Drop" dropLines="19" dropStyle="combo" dx="26" fmlaLink="mesta!$G$26" fmlaRange="mesta!$E$24:$E$42" noThreeD="1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2.xml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jpeg"/><Relationship Id="rId21" Type="http://schemas.openxmlformats.org/officeDocument/2006/relationships/image" Target="../media/image23.jpe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chart" Target="../charts/chart4.xml"/><Relationship Id="rId16" Type="http://schemas.openxmlformats.org/officeDocument/2006/relationships/image" Target="../media/image18.png"/><Relationship Id="rId20" Type="http://schemas.openxmlformats.org/officeDocument/2006/relationships/image" Target="../media/image22.jpeg"/><Relationship Id="rId1" Type="http://schemas.openxmlformats.org/officeDocument/2006/relationships/chart" Target="../charts/chart3.xml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19" Type="http://schemas.openxmlformats.org/officeDocument/2006/relationships/image" Target="../media/image21.jpeg"/><Relationship Id="rId4" Type="http://schemas.openxmlformats.org/officeDocument/2006/relationships/image" Target="../media/image6.jpeg"/><Relationship Id="rId9" Type="http://schemas.openxmlformats.org/officeDocument/2006/relationships/image" Target="../media/image11.emf"/><Relationship Id="rId14" Type="http://schemas.openxmlformats.org/officeDocument/2006/relationships/image" Target="../media/image16.png"/><Relationship Id="rId22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541020</xdr:colOff>
      <xdr:row>0</xdr:row>
      <xdr:rowOff>60960</xdr:rowOff>
    </xdr:from>
    <xdr:to>
      <xdr:col>11</xdr:col>
      <xdr:colOff>0</xdr:colOff>
      <xdr:row>6</xdr:row>
      <xdr:rowOff>137160</xdr:rowOff>
    </xdr:to>
    <xdr:pic>
      <xdr:nvPicPr>
        <xdr:cNvPr id="2912526" name="Picture 4" descr="bloc frei">
          <a:extLst>
            <a:ext uri="{FF2B5EF4-FFF2-40B4-BE49-F238E27FC236}">
              <a16:creationId xmlns:a16="http://schemas.microsoft.com/office/drawing/2014/main" id="{00000000-0008-0000-0000-00000E7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9780" y="60960"/>
          <a:ext cx="132588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0</xdr:row>
      <xdr:rowOff>38100</xdr:rowOff>
    </xdr:from>
    <xdr:to>
      <xdr:col>2</xdr:col>
      <xdr:colOff>236220</xdr:colOff>
      <xdr:row>6</xdr:row>
      <xdr:rowOff>144780</xdr:rowOff>
    </xdr:to>
    <xdr:pic>
      <xdr:nvPicPr>
        <xdr:cNvPr id="2912527" name="Picture 5" descr="vsa1">
          <a:extLst>
            <a:ext uri="{FF2B5EF4-FFF2-40B4-BE49-F238E27FC236}">
              <a16:creationId xmlns:a16="http://schemas.microsoft.com/office/drawing/2014/main" id="{00000000-0008-0000-0000-00000F7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8100"/>
          <a:ext cx="160782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113</xdr:row>
      <xdr:rowOff>22860</xdr:rowOff>
    </xdr:from>
    <xdr:to>
      <xdr:col>8</xdr:col>
      <xdr:colOff>533400</xdr:colOff>
      <xdr:row>133</xdr:row>
      <xdr:rowOff>160020</xdr:rowOff>
    </xdr:to>
    <xdr:graphicFrame macro="">
      <xdr:nvGraphicFramePr>
        <xdr:cNvPr id="2912528" name="Chart 7">
          <a:extLst>
            <a:ext uri="{FF2B5EF4-FFF2-40B4-BE49-F238E27FC236}">
              <a16:creationId xmlns:a16="http://schemas.microsoft.com/office/drawing/2014/main" id="{00000000-0008-0000-0000-00001071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518160</xdr:colOff>
      <xdr:row>38</xdr:row>
      <xdr:rowOff>30480</xdr:rowOff>
    </xdr:from>
    <xdr:to>
      <xdr:col>8</xdr:col>
      <xdr:colOff>586740</xdr:colOff>
      <xdr:row>40</xdr:row>
      <xdr:rowOff>144780</xdr:rowOff>
    </xdr:to>
    <xdr:pic>
      <xdr:nvPicPr>
        <xdr:cNvPr id="2912529" name="Picture 8" descr="vsa1">
          <a:extLst>
            <a:ext uri="{FF2B5EF4-FFF2-40B4-BE49-F238E27FC236}">
              <a16:creationId xmlns:a16="http://schemas.microsoft.com/office/drawing/2014/main" id="{00000000-0008-0000-0000-0000117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840" y="7421880"/>
          <a:ext cx="7086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96</xdr:row>
      <xdr:rowOff>121920</xdr:rowOff>
    </xdr:from>
    <xdr:to>
      <xdr:col>0</xdr:col>
      <xdr:colOff>693420</xdr:colOff>
      <xdr:row>99</xdr:row>
      <xdr:rowOff>152400</xdr:rowOff>
    </xdr:to>
    <xdr:pic>
      <xdr:nvPicPr>
        <xdr:cNvPr id="2912530" name="Picture 10" descr="bloc frei">
          <a:extLst>
            <a:ext uri="{FF2B5EF4-FFF2-40B4-BE49-F238E27FC236}">
              <a16:creationId xmlns:a16="http://schemas.microsoft.com/office/drawing/2014/main" id="{00000000-0008-0000-0000-0000127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495520"/>
          <a:ext cx="6705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213360</xdr:colOff>
      <xdr:row>152</xdr:row>
      <xdr:rowOff>129540</xdr:rowOff>
    </xdr:from>
    <xdr:to>
      <xdr:col>8</xdr:col>
      <xdr:colOff>510540</xdr:colOff>
      <xdr:row>167</xdr:row>
      <xdr:rowOff>30480</xdr:rowOff>
    </xdr:to>
    <xdr:graphicFrame macro="">
      <xdr:nvGraphicFramePr>
        <xdr:cNvPr id="2912531" name="Chart 83">
          <a:extLst>
            <a:ext uri="{FF2B5EF4-FFF2-40B4-BE49-F238E27FC236}">
              <a16:creationId xmlns:a16="http://schemas.microsoft.com/office/drawing/2014/main" id="{00000000-0008-0000-0000-00001371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81</xdr:row>
      <xdr:rowOff>0</xdr:rowOff>
    </xdr:from>
    <xdr:to>
      <xdr:col>7</xdr:col>
      <xdr:colOff>182880</xdr:colOff>
      <xdr:row>95</xdr:row>
      <xdr:rowOff>137160</xdr:rowOff>
    </xdr:to>
    <xdr:graphicFrame macro="">
      <xdr:nvGraphicFramePr>
        <xdr:cNvPr id="3074215" name="Chart 7">
          <a:extLst>
            <a:ext uri="{FF2B5EF4-FFF2-40B4-BE49-F238E27FC236}">
              <a16:creationId xmlns:a16="http://schemas.microsoft.com/office/drawing/2014/main" id="{00000000-0008-0000-0300-0000A7E82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281940</xdr:colOff>
      <xdr:row>81</xdr:row>
      <xdr:rowOff>0</xdr:rowOff>
    </xdr:from>
    <xdr:to>
      <xdr:col>13</xdr:col>
      <xdr:colOff>457200</xdr:colOff>
      <xdr:row>95</xdr:row>
      <xdr:rowOff>121920</xdr:rowOff>
    </xdr:to>
    <xdr:graphicFrame macro="">
      <xdr:nvGraphicFramePr>
        <xdr:cNvPr id="3074216" name="Chart 83">
          <a:extLst>
            <a:ext uri="{FF2B5EF4-FFF2-40B4-BE49-F238E27FC236}">
              <a16:creationId xmlns:a16="http://schemas.microsoft.com/office/drawing/2014/main" id="{00000000-0008-0000-0300-0000A8E82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307947</xdr:colOff>
      <xdr:row>0</xdr:row>
      <xdr:rowOff>60910</xdr:rowOff>
    </xdr:from>
    <xdr:to>
      <xdr:col>13</xdr:col>
      <xdr:colOff>495977</xdr:colOff>
      <xdr:row>4</xdr:row>
      <xdr:rowOff>152703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58140" y="60910"/>
          <a:ext cx="772555" cy="77586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175260</xdr:colOff>
      <xdr:row>7</xdr:row>
      <xdr:rowOff>114300</xdr:rowOff>
    </xdr:from>
    <xdr:to>
      <xdr:col>14</xdr:col>
      <xdr:colOff>167640</xdr:colOff>
      <xdr:row>19</xdr:row>
      <xdr:rowOff>137160</xdr:rowOff>
    </xdr:to>
    <xdr:pic>
      <xdr:nvPicPr>
        <xdr:cNvPr id="3074220" name="Obrázok 4">
          <a:extLst>
            <a:ext uri="{FF2B5EF4-FFF2-40B4-BE49-F238E27FC236}">
              <a16:creationId xmlns:a16="http://schemas.microsoft.com/office/drawing/2014/main" id="{00000000-0008-0000-0300-0000AC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1432560"/>
          <a:ext cx="2621280" cy="1897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</xdr:colOff>
      <xdr:row>48</xdr:row>
      <xdr:rowOff>45720</xdr:rowOff>
    </xdr:from>
    <xdr:to>
      <xdr:col>4</xdr:col>
      <xdr:colOff>304800</xdr:colOff>
      <xdr:row>54</xdr:row>
      <xdr:rowOff>152400</xdr:rowOff>
    </xdr:to>
    <xdr:pic>
      <xdr:nvPicPr>
        <xdr:cNvPr id="3074221" name="Obrázok 5">
          <a:extLst>
            <a:ext uri="{FF2B5EF4-FFF2-40B4-BE49-F238E27FC236}">
              <a16:creationId xmlns:a16="http://schemas.microsoft.com/office/drawing/2014/main" id="{00000000-0008-0000-0300-0000AD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8374380"/>
          <a:ext cx="20193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304800</xdr:colOff>
      <xdr:row>195</xdr:row>
      <xdr:rowOff>76200</xdr:rowOff>
    </xdr:from>
    <xdr:to>
      <xdr:col>11</xdr:col>
      <xdr:colOff>68580</xdr:colOff>
      <xdr:row>201</xdr:row>
      <xdr:rowOff>83820</xdr:rowOff>
    </xdr:to>
    <xdr:pic>
      <xdr:nvPicPr>
        <xdr:cNvPr id="3074222" name="Obrázok 12">
          <a:extLst>
            <a:ext uri="{FF2B5EF4-FFF2-40B4-BE49-F238E27FC236}">
              <a16:creationId xmlns:a16="http://schemas.microsoft.com/office/drawing/2014/main" id="{00000000-0008-0000-0300-0000AE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2600920"/>
          <a:ext cx="22098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</xdr:colOff>
      <xdr:row>207</xdr:row>
      <xdr:rowOff>76200</xdr:rowOff>
    </xdr:from>
    <xdr:to>
      <xdr:col>10</xdr:col>
      <xdr:colOff>243840</xdr:colOff>
      <xdr:row>215</xdr:row>
      <xdr:rowOff>99060</xdr:rowOff>
    </xdr:to>
    <xdr:pic>
      <xdr:nvPicPr>
        <xdr:cNvPr id="3074223" name="Obrázok 13">
          <a:extLst>
            <a:ext uri="{FF2B5EF4-FFF2-40B4-BE49-F238E27FC236}">
              <a16:creationId xmlns:a16="http://schemas.microsoft.com/office/drawing/2014/main" id="{00000000-0008-0000-0300-0000AF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520" y="24704040"/>
          <a:ext cx="220980" cy="1424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281940</xdr:colOff>
      <xdr:row>277</xdr:row>
      <xdr:rowOff>30480</xdr:rowOff>
    </xdr:from>
    <xdr:to>
      <xdr:col>13</xdr:col>
      <xdr:colOff>266700</xdr:colOff>
      <xdr:row>278</xdr:row>
      <xdr:rowOff>83820</xdr:rowOff>
    </xdr:to>
    <xdr:pic>
      <xdr:nvPicPr>
        <xdr:cNvPr id="3074226" name="Obrázok 5">
          <a:extLst>
            <a:ext uri="{FF2B5EF4-FFF2-40B4-BE49-F238E27FC236}">
              <a16:creationId xmlns:a16="http://schemas.microsoft.com/office/drawing/2014/main" id="{00000000-0008-0000-0300-0000B2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960" y="37376100"/>
          <a:ext cx="59436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</xdr:colOff>
      <xdr:row>271</xdr:row>
      <xdr:rowOff>83820</xdr:rowOff>
    </xdr:from>
    <xdr:to>
      <xdr:col>13</xdr:col>
      <xdr:colOff>495300</xdr:colOff>
      <xdr:row>277</xdr:row>
      <xdr:rowOff>45720</xdr:rowOff>
    </xdr:to>
    <xdr:pic>
      <xdr:nvPicPr>
        <xdr:cNvPr id="3074227" name="Obrázok 49">
          <a:extLst>
            <a:ext uri="{FF2B5EF4-FFF2-40B4-BE49-F238E27FC236}">
              <a16:creationId xmlns:a16="http://schemas.microsoft.com/office/drawing/2014/main" id="{00000000-0008-0000-0300-0000B3E8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5" r="655"/>
        <a:stretch>
          <a:fillRect/>
        </a:stretch>
      </xdr:blipFill>
      <xdr:spPr bwMode="auto">
        <a:xfrm>
          <a:off x="1775460" y="36423600"/>
          <a:ext cx="482346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251460</xdr:colOff>
      <xdr:row>277</xdr:row>
      <xdr:rowOff>45720</xdr:rowOff>
    </xdr:from>
    <xdr:to>
      <xdr:col>7</xdr:col>
      <xdr:colOff>381000</xdr:colOff>
      <xdr:row>278</xdr:row>
      <xdr:rowOff>91440</xdr:rowOff>
    </xdr:to>
    <xdr:pic>
      <xdr:nvPicPr>
        <xdr:cNvPr id="3074228" name="Obrázok 43">
          <a:extLst>
            <a:ext uri="{FF2B5EF4-FFF2-40B4-BE49-F238E27FC236}">
              <a16:creationId xmlns:a16="http://schemas.microsoft.com/office/drawing/2014/main" id="{00000000-0008-0000-0300-0000B4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8460" y="37391340"/>
          <a:ext cx="586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381000</xdr:colOff>
      <xdr:row>277</xdr:row>
      <xdr:rowOff>38100</xdr:rowOff>
    </xdr:from>
    <xdr:to>
      <xdr:col>10</xdr:col>
      <xdr:colOff>0</xdr:colOff>
      <xdr:row>278</xdr:row>
      <xdr:rowOff>83820</xdr:rowOff>
    </xdr:to>
    <xdr:pic>
      <xdr:nvPicPr>
        <xdr:cNvPr id="3074229" name="Obrázok 44">
          <a:extLst>
            <a:ext uri="{FF2B5EF4-FFF2-40B4-BE49-F238E27FC236}">
              <a16:creationId xmlns:a16="http://schemas.microsoft.com/office/drawing/2014/main" id="{00000000-0008-0000-0300-0000B5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37383720"/>
          <a:ext cx="59436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373380</xdr:colOff>
      <xdr:row>277</xdr:row>
      <xdr:rowOff>30480</xdr:rowOff>
    </xdr:from>
    <xdr:to>
      <xdr:col>11</xdr:col>
      <xdr:colOff>487680</xdr:colOff>
      <xdr:row>278</xdr:row>
      <xdr:rowOff>76200</xdr:rowOff>
    </xdr:to>
    <xdr:pic>
      <xdr:nvPicPr>
        <xdr:cNvPr id="3074230" name="Obrázok 45">
          <a:extLst>
            <a:ext uri="{FF2B5EF4-FFF2-40B4-BE49-F238E27FC236}">
              <a16:creationId xmlns:a16="http://schemas.microsoft.com/office/drawing/2014/main" id="{00000000-0008-0000-0300-0000B6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2040" y="37376100"/>
          <a:ext cx="57150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335280</xdr:colOff>
      <xdr:row>277</xdr:row>
      <xdr:rowOff>68580</xdr:rowOff>
    </xdr:from>
    <xdr:to>
      <xdr:col>6</xdr:col>
      <xdr:colOff>0</xdr:colOff>
      <xdr:row>278</xdr:row>
      <xdr:rowOff>68580</xdr:rowOff>
    </xdr:to>
    <xdr:pic>
      <xdr:nvPicPr>
        <xdr:cNvPr id="3074231" name="Obrázok 46">
          <a:extLst>
            <a:ext uri="{FF2B5EF4-FFF2-40B4-BE49-F238E27FC236}">
              <a16:creationId xmlns:a16="http://schemas.microsoft.com/office/drawing/2014/main" id="{00000000-0008-0000-0300-0000B7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3120" y="37414200"/>
          <a:ext cx="5638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76200</xdr:colOff>
      <xdr:row>48</xdr:row>
      <xdr:rowOff>38100</xdr:rowOff>
    </xdr:from>
    <xdr:to>
      <xdr:col>14</xdr:col>
      <xdr:colOff>0</xdr:colOff>
      <xdr:row>54</xdr:row>
      <xdr:rowOff>144780</xdr:rowOff>
    </xdr:to>
    <xdr:pic>
      <xdr:nvPicPr>
        <xdr:cNvPr id="3074232" name="Obrázok 1">
          <a:extLst>
            <a:ext uri="{FF2B5EF4-FFF2-40B4-BE49-F238E27FC236}">
              <a16:creationId xmlns:a16="http://schemas.microsoft.com/office/drawing/2014/main" id="{00000000-0008-0000-0300-0000B8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4860" y="8366760"/>
          <a:ext cx="203454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441960</xdr:colOff>
      <xdr:row>48</xdr:row>
      <xdr:rowOff>60960</xdr:rowOff>
    </xdr:from>
    <xdr:to>
      <xdr:col>10</xdr:col>
      <xdr:colOff>0</xdr:colOff>
      <xdr:row>54</xdr:row>
      <xdr:rowOff>160020</xdr:rowOff>
    </xdr:to>
    <xdr:pic>
      <xdr:nvPicPr>
        <xdr:cNvPr id="3074233" name="Obrázok 2">
          <a:extLst>
            <a:ext uri="{FF2B5EF4-FFF2-40B4-BE49-F238E27FC236}">
              <a16:creationId xmlns:a16="http://schemas.microsoft.com/office/drawing/2014/main" id="{00000000-0008-0000-0300-0000B9E82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8389620"/>
          <a:ext cx="2308860" cy="1150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388620</xdr:colOff>
      <xdr:row>227</xdr:row>
      <xdr:rowOff>114300</xdr:rowOff>
    </xdr:from>
    <xdr:to>
      <xdr:col>14</xdr:col>
      <xdr:colOff>60960</xdr:colOff>
      <xdr:row>231</xdr:row>
      <xdr:rowOff>38100</xdr:rowOff>
    </xdr:to>
    <xdr:pic>
      <xdr:nvPicPr>
        <xdr:cNvPr id="3074235" name="Obrázok 8">
          <a:extLst>
            <a:ext uri="{FF2B5EF4-FFF2-40B4-BE49-F238E27FC236}">
              <a16:creationId xmlns:a16="http://schemas.microsoft.com/office/drawing/2014/main" id="{00000000-0008-0000-0300-0000BBE8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2820" y="27873960"/>
          <a:ext cx="31775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441960</xdr:colOff>
      <xdr:row>227</xdr:row>
      <xdr:rowOff>106680</xdr:rowOff>
    </xdr:from>
    <xdr:to>
      <xdr:col>7</xdr:col>
      <xdr:colOff>114300</xdr:colOff>
      <xdr:row>233</xdr:row>
      <xdr:rowOff>99060</xdr:rowOff>
    </xdr:to>
    <xdr:pic>
      <xdr:nvPicPr>
        <xdr:cNvPr id="3074236" name="Obrázok 10">
          <a:extLst>
            <a:ext uri="{FF2B5EF4-FFF2-40B4-BE49-F238E27FC236}">
              <a16:creationId xmlns:a16="http://schemas.microsoft.com/office/drawing/2014/main" id="{00000000-0008-0000-0300-0000BCE8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7866340"/>
          <a:ext cx="270510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259080</xdr:colOff>
      <xdr:row>207</xdr:row>
      <xdr:rowOff>76200</xdr:rowOff>
    </xdr:from>
    <xdr:to>
      <xdr:col>14</xdr:col>
      <xdr:colOff>190500</xdr:colOff>
      <xdr:row>212</xdr:row>
      <xdr:rowOff>144780</xdr:rowOff>
    </xdr:to>
    <xdr:pic>
      <xdr:nvPicPr>
        <xdr:cNvPr id="3074237" name="Obrázok 12">
          <a:extLst>
            <a:ext uri="{FF2B5EF4-FFF2-40B4-BE49-F238E27FC236}">
              <a16:creationId xmlns:a16="http://schemas.microsoft.com/office/drawing/2014/main" id="{00000000-0008-0000-0300-0000BDE8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7740" y="24704040"/>
          <a:ext cx="204216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126</xdr:row>
      <xdr:rowOff>30480</xdr:rowOff>
    </xdr:from>
    <xdr:to>
      <xdr:col>10</xdr:col>
      <xdr:colOff>320040</xdr:colOff>
      <xdr:row>202</xdr:row>
      <xdr:rowOff>144780</xdr:rowOff>
    </xdr:to>
    <xdr:pic>
      <xdr:nvPicPr>
        <xdr:cNvPr id="3074238" name="Obrázok 2">
          <a:extLst>
            <a:ext uri="{FF2B5EF4-FFF2-40B4-BE49-F238E27FC236}">
              <a16:creationId xmlns:a16="http://schemas.microsoft.com/office/drawing/2014/main" id="{00000000-0008-0000-0300-0000BEE8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0276820"/>
          <a:ext cx="464058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206</xdr:row>
      <xdr:rowOff>144780</xdr:rowOff>
    </xdr:from>
    <xdr:to>
      <xdr:col>9</xdr:col>
      <xdr:colOff>411480</xdr:colOff>
      <xdr:row>215</xdr:row>
      <xdr:rowOff>121920</xdr:rowOff>
    </xdr:to>
    <xdr:pic>
      <xdr:nvPicPr>
        <xdr:cNvPr id="3074239" name="Obrázok 4">
          <a:extLst>
            <a:ext uri="{FF2B5EF4-FFF2-40B4-BE49-F238E27FC236}">
              <a16:creationId xmlns:a16="http://schemas.microsoft.com/office/drawing/2014/main" id="{00000000-0008-0000-0300-0000BFE8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24597360"/>
          <a:ext cx="4312920" cy="155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31750</xdr:colOff>
      <xdr:row>234</xdr:row>
      <xdr:rowOff>114300</xdr:rowOff>
    </xdr:from>
    <xdr:to>
      <xdr:col>13</xdr:col>
      <xdr:colOff>338642</xdr:colOff>
      <xdr:row>239</xdr:row>
      <xdr:rowOff>131445</xdr:rowOff>
    </xdr:to>
    <xdr:pic>
      <xdr:nvPicPr>
        <xdr:cNvPr id="46" name="Obrázok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410200" y="29032200"/>
          <a:ext cx="882660" cy="874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411480</xdr:colOff>
      <xdr:row>205</xdr:row>
      <xdr:rowOff>45720</xdr:rowOff>
    </xdr:from>
    <xdr:to>
      <xdr:col>9</xdr:col>
      <xdr:colOff>304800</xdr:colOff>
      <xdr:row>206</xdr:row>
      <xdr:rowOff>114300</xdr:rowOff>
    </xdr:to>
    <xdr:pic>
      <xdr:nvPicPr>
        <xdr:cNvPr id="3074241" name="Obrázok 2">
          <a:extLst>
            <a:ext uri="{FF2B5EF4-FFF2-40B4-BE49-F238E27FC236}">
              <a16:creationId xmlns:a16="http://schemas.microsoft.com/office/drawing/2014/main" id="{00000000-0008-0000-0300-0000C1E82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120" y="24323040"/>
          <a:ext cx="258318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26</xdr:row>
          <xdr:rowOff>28575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411074" name="Drop Down 2" hidden="1">
              <a:extLst>
                <a:ext uri="{63B3BB69-23CF-44E3-9099-C40C66FF867C}">
                  <a14:compatExt spid="_x0000_s1411074"/>
                </a:ext>
                <a:ext uri="{FF2B5EF4-FFF2-40B4-BE49-F238E27FC236}">
                  <a16:creationId xmlns:a16="http://schemas.microsoft.com/office/drawing/2014/main" id="{00000000-0008-0000-0300-000002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19050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411075" name="Drop Down 3" hidden="1">
              <a:extLst>
                <a:ext uri="{63B3BB69-23CF-44E3-9099-C40C66FF867C}">
                  <a14:compatExt spid="_x0000_s1411075"/>
                </a:ext>
                <a:ext uri="{FF2B5EF4-FFF2-40B4-BE49-F238E27FC236}">
                  <a16:creationId xmlns:a16="http://schemas.microsoft.com/office/drawing/2014/main" id="{00000000-0008-0000-0300-000003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32</xdr:row>
          <xdr:rowOff>28575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411076" name="Drop Down 4" hidden="1">
              <a:extLst>
                <a:ext uri="{63B3BB69-23CF-44E3-9099-C40C66FF867C}">
                  <a14:compatExt spid="_x0000_s1411076"/>
                </a:ext>
                <a:ext uri="{FF2B5EF4-FFF2-40B4-BE49-F238E27FC236}">
                  <a16:creationId xmlns:a16="http://schemas.microsoft.com/office/drawing/2014/main" id="{00000000-0008-0000-0300-000004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30</xdr:row>
          <xdr:rowOff>28575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411077" name="Drop Down 5" hidden="1">
              <a:extLst>
                <a:ext uri="{63B3BB69-23CF-44E3-9099-C40C66FF867C}">
                  <a14:compatExt spid="_x0000_s1411077"/>
                </a:ext>
                <a:ext uri="{FF2B5EF4-FFF2-40B4-BE49-F238E27FC236}">
                  <a16:creationId xmlns:a16="http://schemas.microsoft.com/office/drawing/2014/main" id="{00000000-0008-0000-0300-000005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29</xdr:row>
          <xdr:rowOff>28575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411078" name="Drop Down 6" hidden="1">
              <a:extLst>
                <a:ext uri="{63B3BB69-23CF-44E3-9099-C40C66FF867C}">
                  <a14:compatExt spid="_x0000_s1411078"/>
                </a:ext>
                <a:ext uri="{FF2B5EF4-FFF2-40B4-BE49-F238E27FC236}">
                  <a16:creationId xmlns:a16="http://schemas.microsoft.com/office/drawing/2014/main" id="{00000000-0008-0000-0300-000006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31</xdr:row>
          <xdr:rowOff>28575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411079" name="Drop Down 7" hidden="1">
              <a:extLst>
                <a:ext uri="{63B3BB69-23CF-44E3-9099-C40C66FF867C}">
                  <a14:compatExt spid="_x0000_s1411079"/>
                </a:ext>
                <a:ext uri="{FF2B5EF4-FFF2-40B4-BE49-F238E27FC236}">
                  <a16:creationId xmlns:a16="http://schemas.microsoft.com/office/drawing/2014/main" id="{00000000-0008-0000-0300-000007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37</xdr:row>
          <xdr:rowOff>57150</xdr:rowOff>
        </xdr:from>
        <xdr:to>
          <xdr:col>8</xdr:col>
          <xdr:colOff>85725</xdr:colOff>
          <xdr:row>38</xdr:row>
          <xdr:rowOff>9525</xdr:rowOff>
        </xdr:to>
        <xdr:sp macro="" textlink="">
          <xdr:nvSpPr>
            <xdr:cNvPr id="1411080" name="Drop Down 8" hidden="1">
              <a:extLst>
                <a:ext uri="{63B3BB69-23CF-44E3-9099-C40C66FF867C}">
                  <a14:compatExt spid="_x0000_s1411080"/>
                </a:ext>
                <a:ext uri="{FF2B5EF4-FFF2-40B4-BE49-F238E27FC236}">
                  <a16:creationId xmlns:a16="http://schemas.microsoft.com/office/drawing/2014/main" id="{00000000-0008-0000-0300-000008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38</xdr:row>
          <xdr:rowOff>57150</xdr:rowOff>
        </xdr:from>
        <xdr:to>
          <xdr:col>8</xdr:col>
          <xdr:colOff>76200</xdr:colOff>
          <xdr:row>39</xdr:row>
          <xdr:rowOff>0</xdr:rowOff>
        </xdr:to>
        <xdr:sp macro="" textlink="">
          <xdr:nvSpPr>
            <xdr:cNvPr id="1411081" name="Drop Down 9" hidden="1">
              <a:extLst>
                <a:ext uri="{63B3BB69-23CF-44E3-9099-C40C66FF867C}">
                  <a14:compatExt spid="_x0000_s1411081"/>
                </a:ext>
                <a:ext uri="{FF2B5EF4-FFF2-40B4-BE49-F238E27FC236}">
                  <a16:creationId xmlns:a16="http://schemas.microsoft.com/office/drawing/2014/main" id="{00000000-0008-0000-0300-000009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39</xdr:row>
          <xdr:rowOff>57150</xdr:rowOff>
        </xdr:from>
        <xdr:to>
          <xdr:col>8</xdr:col>
          <xdr:colOff>76200</xdr:colOff>
          <xdr:row>40</xdr:row>
          <xdr:rowOff>0</xdr:rowOff>
        </xdr:to>
        <xdr:sp macro="" textlink="">
          <xdr:nvSpPr>
            <xdr:cNvPr id="1411082" name="Drop Down 10" hidden="1">
              <a:extLst>
                <a:ext uri="{63B3BB69-23CF-44E3-9099-C40C66FF867C}">
                  <a14:compatExt spid="_x0000_s1411082"/>
                </a:ext>
                <a:ext uri="{FF2B5EF4-FFF2-40B4-BE49-F238E27FC236}">
                  <a16:creationId xmlns:a16="http://schemas.microsoft.com/office/drawing/2014/main" id="{00000000-0008-0000-0300-00000A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40</xdr:row>
          <xdr:rowOff>47625</xdr:rowOff>
        </xdr:from>
        <xdr:to>
          <xdr:col>8</xdr:col>
          <xdr:colOff>85725</xdr:colOff>
          <xdr:row>41</xdr:row>
          <xdr:rowOff>0</xdr:rowOff>
        </xdr:to>
        <xdr:sp macro="" textlink="">
          <xdr:nvSpPr>
            <xdr:cNvPr id="1411083" name="Drop Down 11" hidden="1">
              <a:extLst>
                <a:ext uri="{63B3BB69-23CF-44E3-9099-C40C66FF867C}">
                  <a14:compatExt spid="_x0000_s1411083"/>
                </a:ext>
                <a:ext uri="{FF2B5EF4-FFF2-40B4-BE49-F238E27FC236}">
                  <a16:creationId xmlns:a16="http://schemas.microsoft.com/office/drawing/2014/main" id="{00000000-0008-0000-0300-00000B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41</xdr:row>
          <xdr:rowOff>47625</xdr:rowOff>
        </xdr:from>
        <xdr:to>
          <xdr:col>8</xdr:col>
          <xdr:colOff>95250</xdr:colOff>
          <xdr:row>42</xdr:row>
          <xdr:rowOff>0</xdr:rowOff>
        </xdr:to>
        <xdr:sp macro="" textlink="">
          <xdr:nvSpPr>
            <xdr:cNvPr id="1411084" name="Drop Down 12" hidden="1">
              <a:extLst>
                <a:ext uri="{63B3BB69-23CF-44E3-9099-C40C66FF867C}">
                  <a14:compatExt spid="_x0000_s1411084"/>
                </a:ext>
                <a:ext uri="{FF2B5EF4-FFF2-40B4-BE49-F238E27FC236}">
                  <a16:creationId xmlns:a16="http://schemas.microsoft.com/office/drawing/2014/main" id="{00000000-0008-0000-0300-00000C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42</xdr:row>
          <xdr:rowOff>38100</xdr:rowOff>
        </xdr:from>
        <xdr:to>
          <xdr:col>8</xdr:col>
          <xdr:colOff>85725</xdr:colOff>
          <xdr:row>43</xdr:row>
          <xdr:rowOff>0</xdr:rowOff>
        </xdr:to>
        <xdr:sp macro="" textlink="">
          <xdr:nvSpPr>
            <xdr:cNvPr id="1411085" name="Drop Down 13" hidden="1">
              <a:extLst>
                <a:ext uri="{63B3BB69-23CF-44E3-9099-C40C66FF867C}">
                  <a14:compatExt spid="_x0000_s1411085"/>
                </a:ext>
                <a:ext uri="{FF2B5EF4-FFF2-40B4-BE49-F238E27FC236}">
                  <a16:creationId xmlns:a16="http://schemas.microsoft.com/office/drawing/2014/main" id="{00000000-0008-0000-0300-00000D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43</xdr:row>
          <xdr:rowOff>38100</xdr:rowOff>
        </xdr:from>
        <xdr:to>
          <xdr:col>8</xdr:col>
          <xdr:colOff>85725</xdr:colOff>
          <xdr:row>44</xdr:row>
          <xdr:rowOff>0</xdr:rowOff>
        </xdr:to>
        <xdr:sp macro="" textlink="">
          <xdr:nvSpPr>
            <xdr:cNvPr id="1411086" name="Drop Down 14" hidden="1">
              <a:extLst>
                <a:ext uri="{63B3BB69-23CF-44E3-9099-C40C66FF867C}">
                  <a14:compatExt spid="_x0000_s1411086"/>
                </a:ext>
                <a:ext uri="{FF2B5EF4-FFF2-40B4-BE49-F238E27FC236}">
                  <a16:creationId xmlns:a16="http://schemas.microsoft.com/office/drawing/2014/main" id="{00000000-0008-0000-0300-00000E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25</xdr:row>
          <xdr:rowOff>28575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411129" name="Drop Down 57" hidden="1">
              <a:extLst>
                <a:ext uri="{63B3BB69-23CF-44E3-9099-C40C66FF867C}">
                  <a14:compatExt spid="_x0000_s1411129"/>
                </a:ext>
                <a:ext uri="{FF2B5EF4-FFF2-40B4-BE49-F238E27FC236}">
                  <a16:creationId xmlns:a16="http://schemas.microsoft.com/office/drawing/2014/main" id="{00000000-0008-0000-0300-00003988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33</xdr:row>
          <xdr:rowOff>95250</xdr:rowOff>
        </xdr:from>
        <xdr:to>
          <xdr:col>10</xdr:col>
          <xdr:colOff>0</xdr:colOff>
          <xdr:row>33</xdr:row>
          <xdr:rowOff>257175</xdr:rowOff>
        </xdr:to>
        <xdr:sp macro="" textlink="">
          <xdr:nvSpPr>
            <xdr:cNvPr id="1412036" name="Drop Down 964" hidden="1">
              <a:extLst>
                <a:ext uri="{63B3BB69-23CF-44E3-9099-C40C66FF867C}">
                  <a14:compatExt spid="_x0000_s1412036"/>
                </a:ext>
                <a:ext uri="{FF2B5EF4-FFF2-40B4-BE49-F238E27FC236}">
                  <a16:creationId xmlns:a16="http://schemas.microsoft.com/office/drawing/2014/main" id="{00000000-0008-0000-0300-0000C48B1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44</xdr:row>
          <xdr:rowOff>76200</xdr:rowOff>
        </xdr:from>
        <xdr:to>
          <xdr:col>8</xdr:col>
          <xdr:colOff>85725</xdr:colOff>
          <xdr:row>45</xdr:row>
          <xdr:rowOff>9525</xdr:rowOff>
        </xdr:to>
        <xdr:sp macro="" textlink="">
          <xdr:nvSpPr>
            <xdr:cNvPr id="1818692" name="Drop Down 1092" hidden="1">
              <a:extLst>
                <a:ext uri="{63B3BB69-23CF-44E3-9099-C40C66FF867C}">
                  <a14:compatExt spid="_x0000_s1818692"/>
                </a:ext>
                <a:ext uri="{FF2B5EF4-FFF2-40B4-BE49-F238E27FC236}">
                  <a16:creationId xmlns:a16="http://schemas.microsoft.com/office/drawing/2014/main" id="{00000000-0008-0000-0300-000044C01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228600</xdr:colOff>
          <xdr:row>16</xdr:row>
          <xdr:rowOff>28575</xdr:rowOff>
        </xdr:from>
        <xdr:to>
          <xdr:col>16</xdr:col>
          <xdr:colOff>485775</xdr:colOff>
          <xdr:row>18</xdr:row>
          <xdr:rowOff>85725</xdr:rowOff>
        </xdr:to>
        <xdr:sp macro="" textlink="">
          <xdr:nvSpPr>
            <xdr:cNvPr id="2119406" name="Drop Down 2798" hidden="1">
              <a:extLst>
                <a:ext uri="{63B3BB69-23CF-44E3-9099-C40C66FF867C}">
                  <a14:compatExt spid="_x0000_s2119406"/>
                </a:ext>
                <a:ext uri="{FF2B5EF4-FFF2-40B4-BE49-F238E27FC236}">
                  <a16:creationId xmlns:a16="http://schemas.microsoft.com/office/drawing/2014/main" id="{00000000-0008-0000-0300-0000EE562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0.6161</cdr:x>
      <cdr:y>0.45078</cdr:y>
    </cdr:from>
    <cdr:to>
      <cdr:x>0.64405</cdr:x>
      <cdr:y>0.47674</cdr:y>
    </cdr:to>
    <cdr:sp macro="" textlink="">
      <cdr:nvSpPr>
        <cdr:cNvPr id="161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7491" y="2263648"/>
          <a:ext cx="157067" cy="1417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sk-SK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213360</xdr:colOff>
      <xdr:row>37</xdr:row>
      <xdr:rowOff>129540</xdr:rowOff>
    </xdr:to>
    <xdr:pic>
      <xdr:nvPicPr>
        <xdr:cNvPr id="773661" name="Obrázok 1" descr="imagemap">
          <a:extLst>
            <a:ext uri="{FF2B5EF4-FFF2-40B4-BE49-F238E27FC236}">
              <a16:creationId xmlns:a16="http://schemas.microsoft.com/office/drawing/2014/main" id="{00000000-0008-0000-0400-00001DCE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5736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mailto:dubek@ekodren.sk" TargetMode="External"/><Relationship Id="rId7" Type="http://schemas.openxmlformats.org/officeDocument/2006/relationships/hyperlink" Target="mailto:guzmicky@ekodren.sk" TargetMode="External"/><Relationship Id="rId2" Type="http://schemas.openxmlformats.org/officeDocument/2006/relationships/hyperlink" Target="mailto:riman@ekodren.sk" TargetMode="External"/><Relationship Id="rId1" Type="http://schemas.openxmlformats.org/officeDocument/2006/relationships/printerSettings" Target="../printerSettings/printerSettings3.bin"/><Relationship Id="rId6" Type="http://schemas.openxmlformats.org/officeDocument/2006/relationships/hyperlink" Target="mailto:bukovcan@ekodren.sk" TargetMode="External"/><Relationship Id="rId5" Type="http://schemas.openxmlformats.org/officeDocument/2006/relationships/hyperlink" Target="mailto:marsalko@ekodren.sk" TargetMode="External"/><Relationship Id="rId4" Type="http://schemas.openxmlformats.org/officeDocument/2006/relationships/hyperlink" Target="mailto:caso@ekodren.s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hyperlink" Target="mailto:atelierpsst@gmail.com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hyperlink" Target="http://www.ekodren.sk/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7.bin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5" Type="http://schemas.openxmlformats.org/officeDocument/2006/relationships/drawing" Target="../drawings/drawing2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8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Z751"/>
  <sheetViews>
    <sheetView view="pageBreakPreview" zoomScale="90" zoomScaleNormal="100" zoomScaleSheetLayoutView="90" workbookViewId="0">
      <selection activeCell="A53" sqref="A53:L96"/>
    </sheetView>
  </sheetViews>
  <sheetFormatPr defaultRowHeight="12.75" x14ac:dyDescent="0.2"/>
  <cols>
    <col min="1" max="1" width="10.42578125" customWidth="1"/>
    <col min="2" max="2" width="10.5703125" customWidth="1"/>
    <col min="3" max="3" width="10.42578125" customWidth="1"/>
    <col min="6" max="6" width="10.140625" customWidth="1"/>
    <col min="8" max="8" width="9.28515625" bestFit="1" customWidth="1"/>
    <col min="9" max="9" width="9.42578125" customWidth="1"/>
    <col min="13" max="13" width="10" customWidth="1"/>
    <col min="14" max="14" width="3.28515625" style="173" customWidth="1"/>
    <col min="15" max="15" width="14.42578125" customWidth="1"/>
    <col min="16" max="26" width="4.7109375" style="196" customWidth="1"/>
  </cols>
  <sheetData>
    <row r="2" spans="1:26" ht="20.25" x14ac:dyDescent="0.3">
      <c r="N2" s="191"/>
      <c r="O2" s="192" t="s">
        <v>113</v>
      </c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</row>
    <row r="3" spans="1:26" x14ac:dyDescent="0.2">
      <c r="O3" s="18" t="s">
        <v>114</v>
      </c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spans="1:26" ht="18" x14ac:dyDescent="0.25">
      <c r="O4" s="18" t="s">
        <v>115</v>
      </c>
      <c r="P4" s="195"/>
    </row>
    <row r="5" spans="1:26" ht="13.5" thickBot="1" x14ac:dyDescent="0.25">
      <c r="N5" s="173">
        <v>1</v>
      </c>
      <c r="O5" s="49" t="s">
        <v>116</v>
      </c>
      <c r="R5" s="197" t="s">
        <v>117</v>
      </c>
    </row>
    <row r="6" spans="1:26" ht="13.5" thickBot="1" x14ac:dyDescent="0.25">
      <c r="O6" s="174" t="s">
        <v>52</v>
      </c>
      <c r="P6" s="175">
        <v>5</v>
      </c>
      <c r="Q6" s="176">
        <v>10</v>
      </c>
      <c r="R6" s="176">
        <v>15</v>
      </c>
      <c r="S6" s="176">
        <v>20</v>
      </c>
      <c r="T6" s="176">
        <v>30</v>
      </c>
      <c r="U6" s="176">
        <v>40</v>
      </c>
      <c r="V6" s="176">
        <v>50</v>
      </c>
      <c r="W6" s="176">
        <v>60</v>
      </c>
      <c r="X6" s="176">
        <v>90</v>
      </c>
      <c r="Y6" s="176">
        <v>120</v>
      </c>
      <c r="Z6" s="177">
        <v>180</v>
      </c>
    </row>
    <row r="7" spans="1:26" x14ac:dyDescent="0.2">
      <c r="O7" s="198">
        <v>1</v>
      </c>
      <c r="P7" s="199">
        <v>222</v>
      </c>
      <c r="Q7" s="200">
        <v>156</v>
      </c>
      <c r="R7" s="200">
        <v>124</v>
      </c>
      <c r="S7" s="200">
        <v>102</v>
      </c>
      <c r="T7" s="200">
        <v>77</v>
      </c>
      <c r="U7" s="200">
        <v>62</v>
      </c>
      <c r="V7" s="200">
        <v>52</v>
      </c>
      <c r="W7" s="200">
        <v>45</v>
      </c>
      <c r="X7" s="200">
        <v>33</v>
      </c>
      <c r="Y7" s="200">
        <v>26</v>
      </c>
      <c r="Z7" s="184">
        <v>18</v>
      </c>
    </row>
    <row r="8" spans="1:26" ht="18" x14ac:dyDescent="0.25">
      <c r="B8" s="17" t="s">
        <v>105</v>
      </c>
      <c r="D8" s="16"/>
      <c r="E8" s="16"/>
      <c r="F8" s="16"/>
      <c r="G8" s="16"/>
      <c r="H8" s="16"/>
      <c r="I8" s="16"/>
      <c r="J8" s="16"/>
      <c r="K8" s="16"/>
      <c r="O8" s="178">
        <v>0.5</v>
      </c>
      <c r="P8" s="201">
        <v>253</v>
      </c>
      <c r="Q8" s="202">
        <v>181</v>
      </c>
      <c r="R8" s="202">
        <v>144</v>
      </c>
      <c r="S8" s="202">
        <v>120</v>
      </c>
      <c r="T8" s="202">
        <v>91</v>
      </c>
      <c r="U8" s="202">
        <v>74</v>
      </c>
      <c r="V8" s="202">
        <v>64</v>
      </c>
      <c r="W8" s="202">
        <v>55</v>
      </c>
      <c r="X8" s="202">
        <v>40</v>
      </c>
      <c r="Y8" s="202">
        <v>31</v>
      </c>
      <c r="Z8" s="179">
        <v>22</v>
      </c>
    </row>
    <row r="9" spans="1:26" ht="13.5" thickBot="1" x14ac:dyDescent="0.25">
      <c r="C9" s="18"/>
      <c r="O9" s="178">
        <v>0.2</v>
      </c>
      <c r="P9" s="201">
        <v>288</v>
      </c>
      <c r="Q9" s="202">
        <v>212</v>
      </c>
      <c r="R9" s="202">
        <v>170</v>
      </c>
      <c r="S9" s="202">
        <v>142</v>
      </c>
      <c r="T9" s="202">
        <v>111</v>
      </c>
      <c r="U9" s="202">
        <v>91</v>
      </c>
      <c r="V9" s="202">
        <v>78</v>
      </c>
      <c r="W9" s="202">
        <v>67</v>
      </c>
      <c r="X9" s="202">
        <v>49</v>
      </c>
      <c r="Y9" s="202">
        <v>39</v>
      </c>
      <c r="Z9" s="179">
        <v>28</v>
      </c>
    </row>
    <row r="10" spans="1:26" ht="13.5" thickBot="1" x14ac:dyDescent="0.25">
      <c r="A10" t="s">
        <v>2</v>
      </c>
      <c r="C10" s="159" t="s">
        <v>81</v>
      </c>
      <c r="D10" s="19"/>
      <c r="E10" s="19"/>
      <c r="F10" s="19"/>
      <c r="G10" s="20"/>
      <c r="H10" s="21"/>
      <c r="J10" s="60" t="s">
        <v>96</v>
      </c>
      <c r="K10" s="106">
        <v>40561</v>
      </c>
      <c r="O10" s="178">
        <v>0.1</v>
      </c>
      <c r="P10" s="201">
        <v>310</v>
      </c>
      <c r="Q10" s="202">
        <v>233</v>
      </c>
      <c r="R10" s="202">
        <v>189</v>
      </c>
      <c r="S10" s="202">
        <v>160</v>
      </c>
      <c r="T10" s="202">
        <v>126</v>
      </c>
      <c r="U10" s="202">
        <v>105</v>
      </c>
      <c r="V10" s="202">
        <v>89</v>
      </c>
      <c r="W10" s="202">
        <v>79</v>
      </c>
      <c r="X10" s="202">
        <v>57</v>
      </c>
      <c r="Y10" s="202">
        <v>45</v>
      </c>
      <c r="Z10" s="179">
        <v>32</v>
      </c>
    </row>
    <row r="11" spans="1:26" ht="13.5" thickBot="1" x14ac:dyDescent="0.25">
      <c r="A11" t="s">
        <v>3</v>
      </c>
      <c r="C11" s="22" t="s">
        <v>73</v>
      </c>
      <c r="D11" s="23"/>
      <c r="O11" s="178">
        <v>0.05</v>
      </c>
      <c r="P11" s="201">
        <v>330</v>
      </c>
      <c r="Q11" s="202">
        <v>251</v>
      </c>
      <c r="R11" s="202">
        <v>202</v>
      </c>
      <c r="S11" s="202">
        <v>174</v>
      </c>
      <c r="T11" s="202">
        <v>139</v>
      </c>
      <c r="U11" s="202">
        <v>115</v>
      </c>
      <c r="V11" s="202">
        <v>98</v>
      </c>
      <c r="W11" s="202">
        <v>86</v>
      </c>
      <c r="X11" s="202">
        <v>64</v>
      </c>
      <c r="Y11" s="202">
        <v>52</v>
      </c>
      <c r="Z11" s="179">
        <v>38</v>
      </c>
    </row>
    <row r="12" spans="1:26" ht="13.5" thickBot="1" x14ac:dyDescent="0.25">
      <c r="O12" s="178">
        <v>3.3000000000000002E-2</v>
      </c>
      <c r="P12" s="201">
        <v>345</v>
      </c>
      <c r="Q12" s="202">
        <v>265</v>
      </c>
      <c r="R12" s="202">
        <v>209</v>
      </c>
      <c r="S12" s="202">
        <v>187</v>
      </c>
      <c r="T12" s="202">
        <v>147</v>
      </c>
      <c r="U12" s="202">
        <v>122</v>
      </c>
      <c r="V12" s="202">
        <v>104</v>
      </c>
      <c r="W12" s="202">
        <v>92</v>
      </c>
      <c r="X12" s="202">
        <v>70</v>
      </c>
      <c r="Y12" s="202">
        <v>56</v>
      </c>
      <c r="Z12" s="179">
        <v>40</v>
      </c>
    </row>
    <row r="13" spans="1:26" ht="13.5" thickBot="1" x14ac:dyDescent="0.25">
      <c r="A13" s="91" t="s">
        <v>78</v>
      </c>
      <c r="B13" s="91"/>
      <c r="F13" s="51"/>
      <c r="G13" s="173">
        <v>1</v>
      </c>
      <c r="H13" s="49" t="s">
        <v>112</v>
      </c>
      <c r="O13" s="203">
        <v>0.02</v>
      </c>
      <c r="P13" s="204">
        <f>P12*1.04</f>
        <v>358.8</v>
      </c>
      <c r="Q13" s="205">
        <f>Q12*1.05</f>
        <v>278.25</v>
      </c>
      <c r="R13" s="205">
        <f t="shared" ref="R13:X13" si="0">R12*1.06</f>
        <v>221.54000000000002</v>
      </c>
      <c r="S13" s="205">
        <f t="shared" si="0"/>
        <v>198.22</v>
      </c>
      <c r="T13" s="205">
        <f t="shared" si="0"/>
        <v>155.82000000000002</v>
      </c>
      <c r="U13" s="205">
        <f t="shared" si="0"/>
        <v>129.32</v>
      </c>
      <c r="V13" s="205">
        <f t="shared" si="0"/>
        <v>110.24000000000001</v>
      </c>
      <c r="W13" s="205">
        <f t="shared" si="0"/>
        <v>97.52000000000001</v>
      </c>
      <c r="X13" s="205">
        <f t="shared" si="0"/>
        <v>74.2</v>
      </c>
      <c r="Y13" s="205">
        <f>Y12*1.07</f>
        <v>59.92</v>
      </c>
      <c r="Z13" s="206">
        <f>Z12*1.07</f>
        <v>42.800000000000004</v>
      </c>
    </row>
    <row r="14" spans="1:26" ht="13.5" thickBot="1" x14ac:dyDescent="0.25">
      <c r="A14" t="s">
        <v>74</v>
      </c>
      <c r="F14" s="44" t="s">
        <v>70</v>
      </c>
      <c r="G14" s="82">
        <v>0.2</v>
      </c>
      <c r="H14" s="51">
        <v>5</v>
      </c>
      <c r="I14" s="51" t="s">
        <v>71</v>
      </c>
      <c r="O14" s="22">
        <v>0.01</v>
      </c>
      <c r="P14" s="207">
        <f>P12*1.09</f>
        <v>376.05</v>
      </c>
      <c r="Q14" s="208">
        <f>Q12*1.1</f>
        <v>291.5</v>
      </c>
      <c r="R14" s="208">
        <f>R12*1.11</f>
        <v>231.99</v>
      </c>
      <c r="S14" s="208">
        <f>S12*1.11</f>
        <v>207.57000000000002</v>
      </c>
      <c r="T14" s="208">
        <f>T12*1.11</f>
        <v>163.17000000000002</v>
      </c>
      <c r="U14" s="208">
        <f>U12*1.12</f>
        <v>136.64000000000001</v>
      </c>
      <c r="V14" s="208">
        <f>V12*1.12</f>
        <v>116.48000000000002</v>
      </c>
      <c r="W14" s="208">
        <f>W12*1.12</f>
        <v>103.04</v>
      </c>
      <c r="X14" s="208">
        <f>X12*1.13</f>
        <v>79.099999999999994</v>
      </c>
      <c r="Y14" s="208">
        <f>Y12*1.13</f>
        <v>63.279999999999994</v>
      </c>
      <c r="Z14" s="209">
        <f>Z12*1.14</f>
        <v>45.599999999999994</v>
      </c>
    </row>
    <row r="15" spans="1:26" ht="13.5" thickBot="1" x14ac:dyDescent="0.25">
      <c r="A15" s="58" t="s">
        <v>8</v>
      </c>
      <c r="B15" s="43"/>
      <c r="C15" s="43"/>
      <c r="D15" s="43"/>
      <c r="E15" s="43"/>
      <c r="F15" s="44" t="s">
        <v>9</v>
      </c>
      <c r="G15" s="45">
        <v>60</v>
      </c>
      <c r="H15" s="43" t="s">
        <v>10</v>
      </c>
      <c r="I15" s="51" t="s">
        <v>72</v>
      </c>
    </row>
    <row r="16" spans="1:26" ht="13.5" thickBot="1" x14ac:dyDescent="0.25">
      <c r="A16" s="58" t="s">
        <v>4</v>
      </c>
      <c r="B16" s="43"/>
      <c r="C16" s="43"/>
      <c r="D16" s="43"/>
      <c r="E16" s="43"/>
      <c r="F16" s="44" t="s">
        <v>40</v>
      </c>
      <c r="G16" s="45">
        <v>64</v>
      </c>
      <c r="H16" s="43" t="s">
        <v>5</v>
      </c>
      <c r="I16" s="51" t="s">
        <v>72</v>
      </c>
      <c r="N16" s="173">
        <v>2</v>
      </c>
      <c r="O16" s="242" t="s">
        <v>118</v>
      </c>
      <c r="R16" s="196" t="s">
        <v>117</v>
      </c>
    </row>
    <row r="17" spans="1:26" ht="15" thickBot="1" x14ac:dyDescent="0.3">
      <c r="A17" s="58" t="s">
        <v>6</v>
      </c>
      <c r="F17" s="44" t="s">
        <v>64</v>
      </c>
      <c r="G17" s="24">
        <v>4.0000000000000003E-5</v>
      </c>
      <c r="H17" t="s">
        <v>7</v>
      </c>
      <c r="I17" s="92"/>
      <c r="O17" s="174" t="s">
        <v>52</v>
      </c>
      <c r="P17" s="175">
        <v>5</v>
      </c>
      <c r="Q17" s="176">
        <v>10</v>
      </c>
      <c r="R17" s="176">
        <v>15</v>
      </c>
      <c r="S17" s="176">
        <v>20</v>
      </c>
      <c r="T17" s="176">
        <v>30</v>
      </c>
      <c r="U17" s="176">
        <v>40</v>
      </c>
      <c r="V17" s="176">
        <v>50</v>
      </c>
      <c r="W17" s="176">
        <v>60</v>
      </c>
      <c r="X17" s="176">
        <v>90</v>
      </c>
      <c r="Y17" s="176">
        <v>120</v>
      </c>
      <c r="Z17" s="177">
        <v>180</v>
      </c>
    </row>
    <row r="18" spans="1:26" ht="15" thickBot="1" x14ac:dyDescent="0.3">
      <c r="A18" t="s">
        <v>77</v>
      </c>
      <c r="F18" s="44" t="s">
        <v>65</v>
      </c>
      <c r="G18" s="24">
        <v>1.1000000000000001</v>
      </c>
      <c r="H18" t="s">
        <v>11</v>
      </c>
      <c r="O18" s="198">
        <v>1</v>
      </c>
      <c r="P18" s="201">
        <v>270</v>
      </c>
      <c r="Q18" s="88">
        <v>188</v>
      </c>
      <c r="R18" s="88">
        <v>147</v>
      </c>
      <c r="S18" s="88">
        <v>121</v>
      </c>
      <c r="T18" s="88">
        <v>91</v>
      </c>
      <c r="U18" s="88">
        <v>74</v>
      </c>
      <c r="V18" s="88">
        <v>62</v>
      </c>
      <c r="W18" s="88">
        <v>54</v>
      </c>
      <c r="X18" s="88">
        <v>39</v>
      </c>
      <c r="Y18" s="88">
        <v>30</v>
      </c>
      <c r="Z18" s="179">
        <v>21</v>
      </c>
    </row>
    <row r="19" spans="1:26" ht="15" thickBot="1" x14ac:dyDescent="0.3">
      <c r="A19" t="s">
        <v>43</v>
      </c>
      <c r="F19" s="44" t="s">
        <v>66</v>
      </c>
      <c r="G19" s="24">
        <v>4</v>
      </c>
      <c r="H19" t="s">
        <v>12</v>
      </c>
      <c r="I19" t="s">
        <v>44</v>
      </c>
      <c r="O19" s="178">
        <v>0.5</v>
      </c>
      <c r="P19" s="201">
        <v>303</v>
      </c>
      <c r="Q19" s="88">
        <v>218</v>
      </c>
      <c r="R19" s="88">
        <v>173</v>
      </c>
      <c r="S19" s="88">
        <v>144</v>
      </c>
      <c r="T19" s="88">
        <v>110</v>
      </c>
      <c r="U19" s="88">
        <v>90</v>
      </c>
      <c r="V19" s="88">
        <v>76</v>
      </c>
      <c r="W19" s="88">
        <v>66</v>
      </c>
      <c r="X19" s="88">
        <v>48</v>
      </c>
      <c r="Y19" s="88">
        <v>38</v>
      </c>
      <c r="Z19" s="179">
        <v>27</v>
      </c>
    </row>
    <row r="20" spans="1:26" ht="15" thickBot="1" x14ac:dyDescent="0.3">
      <c r="A20" t="s">
        <v>50</v>
      </c>
      <c r="F20" s="44" t="s">
        <v>67</v>
      </c>
      <c r="G20" s="24">
        <v>1</v>
      </c>
      <c r="I20" s="43"/>
      <c r="J20" s="46"/>
      <c r="O20" s="178">
        <v>0.2</v>
      </c>
      <c r="P20" s="201">
        <v>350</v>
      </c>
      <c r="Q20" s="88">
        <v>262</v>
      </c>
      <c r="R20" s="88">
        <v>212</v>
      </c>
      <c r="S20" s="88">
        <v>178</v>
      </c>
      <c r="T20" s="88">
        <v>136</v>
      </c>
      <c r="U20" s="88">
        <v>112</v>
      </c>
      <c r="V20" s="88">
        <v>94</v>
      </c>
      <c r="W20" s="88">
        <v>82</v>
      </c>
      <c r="X20" s="88">
        <v>60</v>
      </c>
      <c r="Y20" s="88">
        <v>47</v>
      </c>
      <c r="Z20" s="179">
        <v>33</v>
      </c>
    </row>
    <row r="21" spans="1:26" ht="13.5" thickBot="1" x14ac:dyDescent="0.25">
      <c r="D21" t="s">
        <v>13</v>
      </c>
      <c r="E21" t="s">
        <v>14</v>
      </c>
      <c r="G21" t="s">
        <v>15</v>
      </c>
      <c r="J21" s="47" t="s">
        <v>16</v>
      </c>
      <c r="O21" s="178">
        <v>0.1</v>
      </c>
      <c r="P21" s="201">
        <v>383</v>
      </c>
      <c r="Q21" s="88">
        <v>299</v>
      </c>
      <c r="R21" s="88">
        <v>241</v>
      </c>
      <c r="S21" s="88">
        <v>203</v>
      </c>
      <c r="T21" s="88">
        <v>157</v>
      </c>
      <c r="U21" s="88">
        <v>129</v>
      </c>
      <c r="V21" s="88">
        <v>109</v>
      </c>
      <c r="W21" s="88">
        <v>95</v>
      </c>
      <c r="X21" s="88">
        <v>70</v>
      </c>
      <c r="Y21" s="88">
        <v>55</v>
      </c>
      <c r="Z21" s="179">
        <v>39</v>
      </c>
    </row>
    <row r="22" spans="1:26" ht="16.5" thickBot="1" x14ac:dyDescent="0.35">
      <c r="A22" s="29"/>
      <c r="D22" s="25" t="s">
        <v>17</v>
      </c>
      <c r="E22" s="233">
        <v>3176</v>
      </c>
      <c r="F22" s="15" t="s">
        <v>18</v>
      </c>
      <c r="G22" s="103" t="s">
        <v>19</v>
      </c>
      <c r="H22" s="26">
        <v>0.9</v>
      </c>
      <c r="J22" s="83">
        <f>G16*E22*H22/10000</f>
        <v>18.293759999999999</v>
      </c>
      <c r="O22" s="178">
        <v>0.05</v>
      </c>
      <c r="P22" s="201">
        <v>400</v>
      </c>
      <c r="Q22" s="88">
        <v>320</v>
      </c>
      <c r="R22" s="88">
        <v>260</v>
      </c>
      <c r="S22" s="88">
        <v>222</v>
      </c>
      <c r="T22" s="88">
        <v>173</v>
      </c>
      <c r="U22" s="88">
        <v>143</v>
      </c>
      <c r="V22" s="88">
        <v>122</v>
      </c>
      <c r="W22" s="88">
        <v>107</v>
      </c>
      <c r="X22" s="88">
        <v>78</v>
      </c>
      <c r="Y22" s="88">
        <v>62</v>
      </c>
      <c r="Z22" s="179">
        <v>44</v>
      </c>
    </row>
    <row r="23" spans="1:26" ht="16.5" thickBot="1" x14ac:dyDescent="0.35">
      <c r="D23" s="25" t="s">
        <v>20</v>
      </c>
      <c r="E23" s="234">
        <v>0</v>
      </c>
      <c r="F23" s="15" t="s">
        <v>18</v>
      </c>
      <c r="G23" s="103" t="s">
        <v>21</v>
      </c>
      <c r="H23" s="24">
        <v>0.15</v>
      </c>
      <c r="J23" s="83">
        <f>G16*E23*H23/10000</f>
        <v>0</v>
      </c>
      <c r="O23" s="180">
        <v>3.3000000000000002E-2</v>
      </c>
      <c r="P23" s="201">
        <v>425</v>
      </c>
      <c r="Q23" s="202">
        <v>338</v>
      </c>
      <c r="R23" s="202">
        <v>277</v>
      </c>
      <c r="S23" s="202">
        <v>238</v>
      </c>
      <c r="T23" s="202">
        <v>189</v>
      </c>
      <c r="U23" s="202">
        <v>160</v>
      </c>
      <c r="V23" s="202">
        <v>137</v>
      </c>
      <c r="W23" s="202">
        <v>120</v>
      </c>
      <c r="X23" s="202">
        <v>87</v>
      </c>
      <c r="Y23" s="202">
        <v>69</v>
      </c>
      <c r="Z23" s="179">
        <v>47</v>
      </c>
    </row>
    <row r="24" spans="1:26" ht="16.5" thickBot="1" x14ac:dyDescent="0.35">
      <c r="D24" s="25" t="s">
        <v>22</v>
      </c>
      <c r="E24" s="235">
        <v>0</v>
      </c>
      <c r="F24" s="15" t="s">
        <v>18</v>
      </c>
      <c r="G24" s="103" t="s">
        <v>23</v>
      </c>
      <c r="H24" s="27">
        <v>0.15</v>
      </c>
      <c r="J24" s="83">
        <f>G16*E24*H24/10000</f>
        <v>0</v>
      </c>
      <c r="O24" s="210">
        <v>0.02</v>
      </c>
      <c r="P24" s="204">
        <f>P23*1.04</f>
        <v>442</v>
      </c>
      <c r="Q24" s="205">
        <f>Q23*1.05</f>
        <v>354.90000000000003</v>
      </c>
      <c r="R24" s="205">
        <f t="shared" ref="R24:X24" si="1">R23*1.06</f>
        <v>293.62</v>
      </c>
      <c r="S24" s="205">
        <f t="shared" si="1"/>
        <v>252.28</v>
      </c>
      <c r="T24" s="205">
        <f t="shared" si="1"/>
        <v>200.34</v>
      </c>
      <c r="U24" s="205">
        <f t="shared" si="1"/>
        <v>169.60000000000002</v>
      </c>
      <c r="V24" s="205">
        <f t="shared" si="1"/>
        <v>145.22</v>
      </c>
      <c r="W24" s="205">
        <f t="shared" si="1"/>
        <v>127.2</v>
      </c>
      <c r="X24" s="205">
        <f t="shared" si="1"/>
        <v>92.22</v>
      </c>
      <c r="Y24" s="205">
        <f>Y23*1.07</f>
        <v>73.83</v>
      </c>
      <c r="Z24" s="206">
        <f>Z23*1.07</f>
        <v>50.290000000000006</v>
      </c>
    </row>
    <row r="25" spans="1:26" ht="16.5" thickBot="1" x14ac:dyDescent="0.35">
      <c r="D25" s="25" t="s">
        <v>24</v>
      </c>
      <c r="E25" s="234">
        <v>0</v>
      </c>
      <c r="F25" s="15" t="s">
        <v>18</v>
      </c>
      <c r="G25" s="103" t="s">
        <v>25</v>
      </c>
      <c r="H25" s="24">
        <v>0.9</v>
      </c>
      <c r="J25" s="83">
        <f>G16*E25*H25/10000</f>
        <v>0</v>
      </c>
      <c r="O25" s="22">
        <v>0.01</v>
      </c>
      <c r="P25" s="207">
        <f>P23*1.09</f>
        <v>463.25000000000006</v>
      </c>
      <c r="Q25" s="208">
        <f>Q23*1.1</f>
        <v>371.8</v>
      </c>
      <c r="R25" s="208">
        <f>R23*1.11</f>
        <v>307.47000000000003</v>
      </c>
      <c r="S25" s="208">
        <f>S23*1.11</f>
        <v>264.18</v>
      </c>
      <c r="T25" s="208">
        <f>T23*1.11</f>
        <v>209.79000000000002</v>
      </c>
      <c r="U25" s="208">
        <f>U23*1.12</f>
        <v>179.20000000000002</v>
      </c>
      <c r="V25" s="208">
        <f>V23*1.12</f>
        <v>153.44000000000003</v>
      </c>
      <c r="W25" s="208">
        <f>W23*1.12</f>
        <v>134.4</v>
      </c>
      <c r="X25" s="208">
        <f>X23*1.13</f>
        <v>98.309999999999988</v>
      </c>
      <c r="Y25" s="208">
        <f>Y23*1.13</f>
        <v>77.97</v>
      </c>
      <c r="Z25" s="209">
        <f>Z23*1.14</f>
        <v>53.58</v>
      </c>
    </row>
    <row r="26" spans="1:26" ht="16.5" thickBot="1" x14ac:dyDescent="0.35">
      <c r="D26" s="25" t="s">
        <v>26</v>
      </c>
      <c r="E26" s="234">
        <v>0</v>
      </c>
      <c r="F26" s="15" t="s">
        <v>18</v>
      </c>
      <c r="G26" s="103" t="s">
        <v>27</v>
      </c>
      <c r="H26" s="24">
        <v>0.9</v>
      </c>
      <c r="J26" s="83">
        <f>G16*E26*H26/10000</f>
        <v>0</v>
      </c>
    </row>
    <row r="27" spans="1:26" ht="16.5" thickBot="1" x14ac:dyDescent="0.35">
      <c r="D27" s="25" t="s">
        <v>28</v>
      </c>
      <c r="E27" s="236"/>
      <c r="F27" s="15" t="s">
        <v>18</v>
      </c>
      <c r="G27" s="103" t="s">
        <v>29</v>
      </c>
      <c r="H27" s="28">
        <v>1</v>
      </c>
      <c r="J27" s="83">
        <f>G16*E27*H27/10000</f>
        <v>0</v>
      </c>
      <c r="N27" s="173">
        <v>3</v>
      </c>
      <c r="O27" s="49" t="s">
        <v>112</v>
      </c>
      <c r="R27" s="197" t="s">
        <v>117</v>
      </c>
    </row>
    <row r="28" spans="1:26" ht="16.5" thickBot="1" x14ac:dyDescent="0.35">
      <c r="D28" s="25" t="s">
        <v>30</v>
      </c>
      <c r="E28" s="236"/>
      <c r="F28" s="15" t="s">
        <v>18</v>
      </c>
      <c r="G28" s="103" t="s">
        <v>31</v>
      </c>
      <c r="H28" s="28"/>
      <c r="J28" s="84">
        <f>G17*E28*H28/10000</f>
        <v>0</v>
      </c>
      <c r="O28" s="174" t="s">
        <v>52</v>
      </c>
      <c r="P28" s="175">
        <v>5</v>
      </c>
      <c r="Q28" s="176">
        <v>10</v>
      </c>
      <c r="R28" s="176">
        <v>15</v>
      </c>
      <c r="S28" s="176">
        <v>20</v>
      </c>
      <c r="T28" s="176">
        <v>30</v>
      </c>
      <c r="U28" s="176">
        <v>40</v>
      </c>
      <c r="V28" s="176">
        <v>50</v>
      </c>
      <c r="W28" s="176">
        <v>60</v>
      </c>
      <c r="X28" s="176">
        <v>90</v>
      </c>
      <c r="Y28" s="176">
        <v>120</v>
      </c>
      <c r="Z28" s="177">
        <v>180</v>
      </c>
    </row>
    <row r="29" spans="1:26" ht="18.75" customHeight="1" thickBot="1" x14ac:dyDescent="0.25">
      <c r="D29" s="44" t="s">
        <v>41</v>
      </c>
      <c r="E29" s="237">
        <f>(E22*H22)+(E23*H23)+(E24*H24)+(E25*H25)+(E26*H26)+(E27*H27)+(E28*H28)</f>
        <v>2858.4</v>
      </c>
      <c r="F29" s="15" t="s">
        <v>18</v>
      </c>
      <c r="I29" s="50" t="s">
        <v>32</v>
      </c>
      <c r="J29" s="48">
        <f>SUM(J22:J28)</f>
        <v>18.293759999999999</v>
      </c>
      <c r="K29" s="49" t="s">
        <v>0</v>
      </c>
      <c r="O29" s="181">
        <v>1</v>
      </c>
      <c r="P29" s="182">
        <v>224</v>
      </c>
      <c r="Q29" s="183">
        <v>151</v>
      </c>
      <c r="R29" s="183">
        <v>117</v>
      </c>
      <c r="S29" s="183">
        <v>96</v>
      </c>
      <c r="T29" s="183">
        <v>72</v>
      </c>
      <c r="U29" s="183">
        <v>58</v>
      </c>
      <c r="V29" s="183">
        <v>49</v>
      </c>
      <c r="W29" s="183">
        <v>42</v>
      </c>
      <c r="X29" s="183">
        <v>30</v>
      </c>
      <c r="Y29" s="183">
        <v>24</v>
      </c>
      <c r="Z29" s="184">
        <v>17</v>
      </c>
    </row>
    <row r="30" spans="1:26" ht="18.75" customHeight="1" thickBot="1" x14ac:dyDescent="0.25">
      <c r="D30" s="44"/>
      <c r="E30" s="104"/>
      <c r="F30" s="15"/>
      <c r="I30" s="50"/>
      <c r="J30" s="48"/>
      <c r="K30" s="49"/>
      <c r="O30" s="178">
        <v>0.5</v>
      </c>
      <c r="P30" s="185">
        <v>274</v>
      </c>
      <c r="Q30" s="88">
        <v>184</v>
      </c>
      <c r="R30" s="186">
        <v>142</v>
      </c>
      <c r="S30" s="88">
        <v>117</v>
      </c>
      <c r="T30" s="88">
        <v>88</v>
      </c>
      <c r="U30" s="88">
        <v>71</v>
      </c>
      <c r="V30" s="88">
        <v>60</v>
      </c>
      <c r="W30" s="88">
        <v>52</v>
      </c>
      <c r="X30" s="88">
        <v>38</v>
      </c>
      <c r="Y30" s="88">
        <v>28</v>
      </c>
      <c r="Z30" s="179">
        <v>20</v>
      </c>
    </row>
    <row r="31" spans="1:26" ht="15.75" thickBot="1" x14ac:dyDescent="0.3">
      <c r="A31" s="60" t="s">
        <v>51</v>
      </c>
      <c r="B31" s="20"/>
      <c r="C31" s="81" t="s">
        <v>62</v>
      </c>
      <c r="D31" s="81" t="s">
        <v>63</v>
      </c>
      <c r="E31" s="20"/>
      <c r="F31" s="105" t="s">
        <v>33</v>
      </c>
      <c r="G31" s="20"/>
      <c r="H31" s="81" t="s">
        <v>34</v>
      </c>
      <c r="I31" s="66"/>
      <c r="J31" s="60" t="s">
        <v>35</v>
      </c>
      <c r="K31" s="20"/>
      <c r="O31" s="178">
        <v>0.2</v>
      </c>
      <c r="P31" s="185">
        <v>345</v>
      </c>
      <c r="Q31" s="88">
        <v>233</v>
      </c>
      <c r="R31" s="88">
        <v>180</v>
      </c>
      <c r="S31" s="88">
        <v>147</v>
      </c>
      <c r="T31" s="88">
        <v>110</v>
      </c>
      <c r="U31" s="88">
        <v>88</v>
      </c>
      <c r="V31" s="88">
        <v>74</v>
      </c>
      <c r="W31" s="88">
        <v>64</v>
      </c>
      <c r="X31" s="88">
        <v>46</v>
      </c>
      <c r="Y31" s="88">
        <v>36</v>
      </c>
      <c r="Z31" s="179">
        <v>25</v>
      </c>
    </row>
    <row r="32" spans="1:26" x14ac:dyDescent="0.2">
      <c r="A32" s="52">
        <v>1</v>
      </c>
      <c r="B32" s="30"/>
      <c r="C32" s="59" t="s">
        <v>45</v>
      </c>
      <c r="D32" s="37">
        <f>(G16*0.0000001*E29*G15*60*G18)/((G19*A32*0.4*0.95)+(G17*0.5*(G19+(A32*0.4*0.5))*G15*60*G18))</f>
        <v>39.102734260298817</v>
      </c>
      <c r="E32" s="33" t="s">
        <v>36</v>
      </c>
      <c r="F32" s="241">
        <f>G19*D32*A32*0.4</f>
        <v>62.564374816478107</v>
      </c>
      <c r="G32" s="30" t="s">
        <v>37</v>
      </c>
      <c r="H32" s="238">
        <f>F32/0.2</f>
        <v>312.82187408239054</v>
      </c>
      <c r="I32" s="34" t="s">
        <v>38</v>
      </c>
      <c r="J32" s="31">
        <f>A32*0.4/G17/60/60</f>
        <v>2.7777777777777777</v>
      </c>
      <c r="K32" s="32" t="s">
        <v>39</v>
      </c>
      <c r="O32" s="178">
        <v>0.1</v>
      </c>
      <c r="P32" s="185">
        <v>391</v>
      </c>
      <c r="Q32" s="88">
        <v>267</v>
      </c>
      <c r="R32" s="88">
        <v>209</v>
      </c>
      <c r="S32" s="88">
        <v>172</v>
      </c>
      <c r="T32" s="88">
        <v>128</v>
      </c>
      <c r="U32" s="88">
        <v>103</v>
      </c>
      <c r="V32" s="88">
        <v>86</v>
      </c>
      <c r="W32" s="88">
        <v>74</v>
      </c>
      <c r="X32" s="88">
        <v>52</v>
      </c>
      <c r="Y32" s="88">
        <v>41</v>
      </c>
      <c r="Z32" s="179">
        <v>28</v>
      </c>
    </row>
    <row r="33" spans="1:26" x14ac:dyDescent="0.2">
      <c r="A33" s="61">
        <v>2</v>
      </c>
      <c r="B33" s="21"/>
      <c r="C33" s="54" t="s">
        <v>46</v>
      </c>
      <c r="D33" s="57">
        <f>(G16*0.0000001*E29*G15*60*G18)/((G19*A33*0.4*0.95)+(G17*0.5*(G19+(A33*0.4*0.5))*G15*60*G18))</f>
        <v>21.379287940315422</v>
      </c>
      <c r="E33" s="33" t="s">
        <v>36</v>
      </c>
      <c r="F33" s="37">
        <f>G19*D33*A33*0.4</f>
        <v>68.413721409009355</v>
      </c>
      <c r="G33" s="21" t="s">
        <v>37</v>
      </c>
      <c r="H33" s="239">
        <f>F33/0.2</f>
        <v>342.06860704504675</v>
      </c>
      <c r="I33" s="34" t="s">
        <v>38</v>
      </c>
      <c r="J33" s="35">
        <f>A33*0.4/G17/3600</f>
        <v>5.5555555555555554</v>
      </c>
      <c r="K33" s="36" t="s">
        <v>39</v>
      </c>
      <c r="O33" s="178">
        <v>0.05</v>
      </c>
      <c r="P33" s="185">
        <v>434</v>
      </c>
      <c r="Q33" s="88">
        <v>298</v>
      </c>
      <c r="R33" s="88">
        <v>233</v>
      </c>
      <c r="S33" s="88">
        <v>192</v>
      </c>
      <c r="T33" s="88">
        <v>145</v>
      </c>
      <c r="U33" s="88">
        <v>116</v>
      </c>
      <c r="V33" s="88">
        <v>96</v>
      </c>
      <c r="W33" s="88">
        <v>82</v>
      </c>
      <c r="X33" s="88">
        <v>57</v>
      </c>
      <c r="Y33" s="88">
        <v>45</v>
      </c>
      <c r="Z33" s="179">
        <v>31</v>
      </c>
    </row>
    <row r="34" spans="1:26" x14ac:dyDescent="0.2">
      <c r="A34" s="61">
        <v>3</v>
      </c>
      <c r="B34" s="21"/>
      <c r="C34" s="55" t="s">
        <v>47</v>
      </c>
      <c r="D34" s="37">
        <f>(G16*0.0000001*E29*G15*60*G18)/((G19*A34*0.4*0.95)+(G17*0.5*(G19+(A34*0.4*0.5))*G15*60*G18))</f>
        <v>14.711328589531142</v>
      </c>
      <c r="E34" s="33" t="s">
        <v>36</v>
      </c>
      <c r="F34" s="37">
        <f>G19*D34*A34*0.4</f>
        <v>70.614377229749479</v>
      </c>
      <c r="G34" s="21" t="s">
        <v>37</v>
      </c>
      <c r="H34" s="239">
        <f>F34/0.2</f>
        <v>353.07188614874735</v>
      </c>
      <c r="I34" s="34" t="s">
        <v>38</v>
      </c>
      <c r="J34" s="35">
        <f>A34*0.4/G17/3600</f>
        <v>8.3333333333333339</v>
      </c>
      <c r="K34" s="36" t="s">
        <v>39</v>
      </c>
      <c r="O34" s="178">
        <v>3.3000000000000002E-2</v>
      </c>
      <c r="P34" s="185">
        <v>454</v>
      </c>
      <c r="Q34" s="88">
        <v>316</v>
      </c>
      <c r="R34" s="88">
        <v>250</v>
      </c>
      <c r="S34" s="88">
        <v>205</v>
      </c>
      <c r="T34" s="88">
        <v>155</v>
      </c>
      <c r="U34" s="88">
        <v>126</v>
      </c>
      <c r="V34" s="88">
        <v>104</v>
      </c>
      <c r="W34" s="88">
        <v>90</v>
      </c>
      <c r="X34" s="88">
        <v>64</v>
      </c>
      <c r="Y34" s="88">
        <v>50</v>
      </c>
      <c r="Z34" s="179">
        <v>34</v>
      </c>
    </row>
    <row r="35" spans="1:26" x14ac:dyDescent="0.2">
      <c r="A35" s="61">
        <v>4</v>
      </c>
      <c r="B35" s="21"/>
      <c r="C35" s="55" t="s">
        <v>48</v>
      </c>
      <c r="D35" s="37">
        <f>(G16*0.0000001*E29*G15*60*G18)/((G19*A35*0.4*0.95)+(G17*0.5*(G19+(A35*0.4*0.5))*G15*60*G18))</f>
        <v>11.213853774519515</v>
      </c>
      <c r="E35" s="33" t="s">
        <v>36</v>
      </c>
      <c r="F35" s="37">
        <f>G19*D35*A35*0.4</f>
        <v>71.768664156924899</v>
      </c>
      <c r="G35" s="21" t="s">
        <v>37</v>
      </c>
      <c r="H35" s="239">
        <f>F35/0.2</f>
        <v>358.8433207846245</v>
      </c>
      <c r="I35" s="34" t="s">
        <v>38</v>
      </c>
      <c r="J35" s="35">
        <f>A35*0.4/G17/3600</f>
        <v>11.111111111111111</v>
      </c>
      <c r="K35" s="36" t="s">
        <v>39</v>
      </c>
      <c r="O35" s="187">
        <v>0.02</v>
      </c>
      <c r="P35" s="185">
        <v>464</v>
      </c>
      <c r="Q35" s="88">
        <v>328</v>
      </c>
      <c r="R35" s="88">
        <v>258</v>
      </c>
      <c r="S35" s="88">
        <v>212</v>
      </c>
      <c r="T35" s="88">
        <v>160</v>
      </c>
      <c r="U35" s="88">
        <v>131</v>
      </c>
      <c r="V35" s="88">
        <v>110</v>
      </c>
      <c r="W35" s="88">
        <v>95</v>
      </c>
      <c r="X35" s="88">
        <v>67</v>
      </c>
      <c r="Y35" s="88">
        <v>53</v>
      </c>
      <c r="Z35" s="179">
        <v>37</v>
      </c>
    </row>
    <row r="36" spans="1:26" ht="13.5" thickBot="1" x14ac:dyDescent="0.25">
      <c r="A36" s="62">
        <v>5</v>
      </c>
      <c r="B36" s="38"/>
      <c r="C36" s="56" t="s">
        <v>49</v>
      </c>
      <c r="D36" s="39">
        <f>(G16*0.0000001*E29*G15*60*G18)/((G19*A36*0.4*0.95)+(G17*0.5*(G19+(A36*0.4*0.5))*G15*60*G18))</f>
        <v>9.0599411705852937</v>
      </c>
      <c r="E36" s="40" t="s">
        <v>36</v>
      </c>
      <c r="F36" s="39">
        <f>G19*D36*A36*0.4</f>
        <v>72.47952936468235</v>
      </c>
      <c r="G36" s="38" t="s">
        <v>37</v>
      </c>
      <c r="H36" s="240">
        <f>F36/0.2</f>
        <v>362.39764682341172</v>
      </c>
      <c r="I36" s="41" t="s">
        <v>38</v>
      </c>
      <c r="J36" s="42">
        <f>A36*0.4/G17/3600</f>
        <v>13.888888888888888</v>
      </c>
      <c r="K36" s="23" t="s">
        <v>39</v>
      </c>
      <c r="O36" s="180">
        <v>0.01</v>
      </c>
      <c r="P36" s="188">
        <v>478</v>
      </c>
      <c r="Q36" s="189">
        <v>339</v>
      </c>
      <c r="R36" s="189">
        <v>269</v>
      </c>
      <c r="S36" s="189">
        <v>222</v>
      </c>
      <c r="T36" s="189">
        <v>170</v>
      </c>
      <c r="U36" s="189">
        <v>140</v>
      </c>
      <c r="V36" s="189">
        <v>118</v>
      </c>
      <c r="W36" s="189">
        <v>100</v>
      </c>
      <c r="X36" s="189">
        <v>72</v>
      </c>
      <c r="Y36" s="189">
        <v>56</v>
      </c>
      <c r="Z36" s="190">
        <v>39</v>
      </c>
    </row>
    <row r="37" spans="1:26" x14ac:dyDescent="0.2">
      <c r="A37" s="85"/>
      <c r="B37" s="21"/>
      <c r="C37" s="86"/>
      <c r="D37" s="35"/>
      <c r="E37" s="87"/>
      <c r="F37" s="87"/>
      <c r="G37" s="21"/>
      <c r="H37" s="88"/>
      <c r="I37" s="89"/>
      <c r="J37" s="35"/>
      <c r="K37" s="21"/>
    </row>
    <row r="38" spans="1:26" ht="13.5" thickBot="1" x14ac:dyDescent="0.25">
      <c r="B38" s="93" t="s">
        <v>185</v>
      </c>
      <c r="C38" s="86"/>
      <c r="D38" s="35"/>
      <c r="E38" s="87"/>
      <c r="F38" s="87"/>
      <c r="G38" s="21"/>
      <c r="H38" s="88"/>
      <c r="I38" s="15"/>
      <c r="J38" s="35"/>
      <c r="K38" s="21"/>
      <c r="N38" s="173">
        <v>4</v>
      </c>
      <c r="O38" s="49" t="s">
        <v>119</v>
      </c>
      <c r="R38" s="197" t="s">
        <v>117</v>
      </c>
    </row>
    <row r="39" spans="1:26" s="7" customFormat="1" ht="13.5" thickBot="1" x14ac:dyDescent="0.25">
      <c r="N39" s="173"/>
      <c r="O39" s="174" t="s">
        <v>52</v>
      </c>
      <c r="P39" s="175">
        <v>5</v>
      </c>
      <c r="Q39" s="176">
        <v>10</v>
      </c>
      <c r="R39" s="176">
        <v>15</v>
      </c>
      <c r="S39" s="176">
        <v>20</v>
      </c>
      <c r="T39" s="176">
        <v>30</v>
      </c>
      <c r="U39" s="176">
        <v>40</v>
      </c>
      <c r="V39" s="176">
        <v>50</v>
      </c>
      <c r="W39" s="176">
        <v>60</v>
      </c>
      <c r="X39" s="176">
        <v>90</v>
      </c>
      <c r="Y39" s="176">
        <v>120</v>
      </c>
      <c r="Z39" s="177">
        <v>180</v>
      </c>
    </row>
    <row r="40" spans="1:26" s="7" customFormat="1" x14ac:dyDescent="0.2">
      <c r="A40" s="7" t="s">
        <v>80</v>
      </c>
      <c r="C40" s="49" t="s">
        <v>112</v>
      </c>
      <c r="E40" s="15"/>
      <c r="N40" s="173"/>
      <c r="O40" s="198">
        <v>1</v>
      </c>
      <c r="P40" s="201">
        <v>233</v>
      </c>
      <c r="Q40" s="88">
        <v>162</v>
      </c>
      <c r="R40" s="88">
        <v>127</v>
      </c>
      <c r="S40" s="88">
        <v>104</v>
      </c>
      <c r="T40" s="88">
        <v>79</v>
      </c>
      <c r="U40" s="88">
        <v>64</v>
      </c>
      <c r="V40" s="88">
        <v>54</v>
      </c>
      <c r="W40" s="88">
        <v>46</v>
      </c>
      <c r="X40" s="88">
        <v>33</v>
      </c>
      <c r="Y40" s="88">
        <v>26</v>
      </c>
      <c r="Z40" s="179">
        <v>19</v>
      </c>
    </row>
    <row r="41" spans="1:26" s="7" customFormat="1" ht="13.5" thickBot="1" x14ac:dyDescent="0.25">
      <c r="A41" s="7" t="s">
        <v>1</v>
      </c>
      <c r="N41" s="173"/>
      <c r="O41" s="178">
        <v>0.5</v>
      </c>
      <c r="P41" s="201">
        <v>273</v>
      </c>
      <c r="Q41" s="88">
        <v>196</v>
      </c>
      <c r="R41" s="88">
        <v>155</v>
      </c>
      <c r="S41" s="88">
        <v>130</v>
      </c>
      <c r="T41" s="88">
        <v>98</v>
      </c>
      <c r="U41" s="88">
        <v>79</v>
      </c>
      <c r="V41" s="88">
        <v>66</v>
      </c>
      <c r="W41" s="88">
        <v>58</v>
      </c>
      <c r="X41" s="88">
        <v>41</v>
      </c>
      <c r="Y41" s="88">
        <v>32</v>
      </c>
      <c r="Z41" s="179">
        <v>23</v>
      </c>
    </row>
    <row r="42" spans="1:26" s="7" customFormat="1" ht="13.5" thickBot="1" x14ac:dyDescent="0.25">
      <c r="A42" s="174" t="s">
        <v>52</v>
      </c>
      <c r="B42" s="175">
        <v>5</v>
      </c>
      <c r="C42" s="176">
        <v>10</v>
      </c>
      <c r="D42" s="176">
        <v>15</v>
      </c>
      <c r="E42" s="176">
        <v>20</v>
      </c>
      <c r="F42" s="176">
        <v>30</v>
      </c>
      <c r="G42" s="176">
        <v>40</v>
      </c>
      <c r="H42" s="176">
        <v>50</v>
      </c>
      <c r="I42" s="176">
        <v>60</v>
      </c>
      <c r="J42" s="176">
        <v>90</v>
      </c>
      <c r="K42" s="176">
        <v>120</v>
      </c>
      <c r="L42" s="177">
        <v>180</v>
      </c>
      <c r="N42" s="173"/>
      <c r="O42" s="178">
        <v>0.2</v>
      </c>
      <c r="P42" s="201">
        <v>327</v>
      </c>
      <c r="Q42" s="88">
        <v>238</v>
      </c>
      <c r="R42" s="88">
        <v>188</v>
      </c>
      <c r="S42" s="88">
        <v>158</v>
      </c>
      <c r="T42" s="88">
        <v>120</v>
      </c>
      <c r="U42" s="88">
        <v>98</v>
      </c>
      <c r="V42" s="88">
        <v>83</v>
      </c>
      <c r="W42" s="88">
        <v>72</v>
      </c>
      <c r="X42" s="88">
        <v>52</v>
      </c>
      <c r="Y42" s="88">
        <v>42</v>
      </c>
      <c r="Z42" s="179">
        <v>30</v>
      </c>
    </row>
    <row r="43" spans="1:26" s="7" customFormat="1" x14ac:dyDescent="0.2">
      <c r="A43" s="181">
        <v>1</v>
      </c>
      <c r="B43" s="182">
        <v>224</v>
      </c>
      <c r="C43" s="183">
        <v>151</v>
      </c>
      <c r="D43" s="183">
        <v>117</v>
      </c>
      <c r="E43" s="183">
        <v>96</v>
      </c>
      <c r="F43" s="183">
        <v>72</v>
      </c>
      <c r="G43" s="183">
        <v>58</v>
      </c>
      <c r="H43" s="183">
        <v>49</v>
      </c>
      <c r="I43" s="183">
        <v>42</v>
      </c>
      <c r="J43" s="183">
        <v>30</v>
      </c>
      <c r="K43" s="183">
        <v>24</v>
      </c>
      <c r="L43" s="184">
        <v>17</v>
      </c>
      <c r="N43" s="173"/>
      <c r="O43" s="178">
        <v>0.1</v>
      </c>
      <c r="P43" s="201">
        <v>372</v>
      </c>
      <c r="Q43" s="88">
        <v>271</v>
      </c>
      <c r="R43" s="88">
        <v>218</v>
      </c>
      <c r="S43" s="88">
        <v>185</v>
      </c>
      <c r="T43" s="88">
        <v>142</v>
      </c>
      <c r="U43" s="88">
        <v>117</v>
      </c>
      <c r="V43" s="88">
        <v>99</v>
      </c>
      <c r="W43" s="88">
        <v>87</v>
      </c>
      <c r="X43" s="88">
        <v>64</v>
      </c>
      <c r="Y43" s="88">
        <v>51</v>
      </c>
      <c r="Z43" s="179">
        <v>37</v>
      </c>
    </row>
    <row r="44" spans="1:26" s="7" customFormat="1" x14ac:dyDescent="0.2">
      <c r="A44" s="178">
        <v>0.5</v>
      </c>
      <c r="B44" s="185">
        <v>274</v>
      </c>
      <c r="C44" s="88">
        <v>184</v>
      </c>
      <c r="D44" s="186">
        <v>142</v>
      </c>
      <c r="E44" s="88">
        <v>117</v>
      </c>
      <c r="F44" s="88">
        <v>88</v>
      </c>
      <c r="G44" s="88">
        <v>71</v>
      </c>
      <c r="H44" s="88">
        <v>60</v>
      </c>
      <c r="I44" s="88">
        <v>52</v>
      </c>
      <c r="J44" s="88">
        <v>38</v>
      </c>
      <c r="K44" s="88">
        <v>28</v>
      </c>
      <c r="L44" s="179">
        <v>20</v>
      </c>
      <c r="N44" s="173"/>
      <c r="O44" s="178">
        <v>0.05</v>
      </c>
      <c r="P44" s="201">
        <v>405</v>
      </c>
      <c r="Q44" s="88">
        <v>301</v>
      </c>
      <c r="R44" s="88">
        <v>249</v>
      </c>
      <c r="S44" s="88">
        <v>211</v>
      </c>
      <c r="T44" s="88">
        <v>165</v>
      </c>
      <c r="U44" s="88">
        <v>137</v>
      </c>
      <c r="V44" s="88">
        <v>117</v>
      </c>
      <c r="W44" s="88">
        <v>102</v>
      </c>
      <c r="X44" s="88">
        <v>76</v>
      </c>
      <c r="Y44" s="88">
        <v>60</v>
      </c>
      <c r="Z44" s="179">
        <v>44</v>
      </c>
    </row>
    <row r="45" spans="1:26" s="7" customFormat="1" ht="13.5" thickBot="1" x14ac:dyDescent="0.25">
      <c r="A45" s="178">
        <v>0.2</v>
      </c>
      <c r="B45" s="185">
        <v>345</v>
      </c>
      <c r="C45" s="88">
        <v>233</v>
      </c>
      <c r="D45" s="88">
        <v>180</v>
      </c>
      <c r="E45" s="88">
        <v>147</v>
      </c>
      <c r="F45" s="88">
        <v>110</v>
      </c>
      <c r="G45" s="88">
        <v>88</v>
      </c>
      <c r="H45" s="88">
        <v>74</v>
      </c>
      <c r="I45" s="88">
        <v>64</v>
      </c>
      <c r="J45" s="88">
        <v>46</v>
      </c>
      <c r="K45" s="88">
        <v>36</v>
      </c>
      <c r="L45" s="179">
        <v>25</v>
      </c>
      <c r="N45" s="173"/>
      <c r="O45" s="180">
        <v>3.3000000000000002E-2</v>
      </c>
      <c r="P45" s="201">
        <v>427</v>
      </c>
      <c r="Q45" s="202">
        <v>325</v>
      </c>
      <c r="R45" s="202">
        <v>269</v>
      </c>
      <c r="S45" s="202">
        <v>230</v>
      </c>
      <c r="T45" s="202">
        <v>181</v>
      </c>
      <c r="U45" s="202">
        <v>150</v>
      </c>
      <c r="V45" s="202">
        <v>128</v>
      </c>
      <c r="W45" s="202">
        <v>113</v>
      </c>
      <c r="X45" s="202">
        <v>84</v>
      </c>
      <c r="Y45" s="202">
        <v>68</v>
      </c>
      <c r="Z45" s="179">
        <v>49</v>
      </c>
    </row>
    <row r="46" spans="1:26" s="7" customFormat="1" x14ac:dyDescent="0.2">
      <c r="A46" s="178">
        <v>0.1</v>
      </c>
      <c r="B46" s="185">
        <v>391</v>
      </c>
      <c r="C46" s="88">
        <v>267</v>
      </c>
      <c r="D46" s="88">
        <v>209</v>
      </c>
      <c r="E46" s="88">
        <v>172</v>
      </c>
      <c r="F46" s="88">
        <v>128</v>
      </c>
      <c r="G46" s="88">
        <v>103</v>
      </c>
      <c r="H46" s="88">
        <v>86</v>
      </c>
      <c r="I46" s="88">
        <v>74</v>
      </c>
      <c r="J46" s="88">
        <v>52</v>
      </c>
      <c r="K46" s="88">
        <v>41</v>
      </c>
      <c r="L46" s="179">
        <v>28</v>
      </c>
      <c r="N46" s="173"/>
      <c r="O46" s="203">
        <v>0.02</v>
      </c>
      <c r="P46" s="204">
        <f>P45*1.04</f>
        <v>444.08000000000004</v>
      </c>
      <c r="Q46" s="205">
        <f>Q45*1.05</f>
        <v>341.25</v>
      </c>
      <c r="R46" s="205">
        <f t="shared" ref="R46:X46" si="2">R45*1.06</f>
        <v>285.14</v>
      </c>
      <c r="S46" s="205">
        <f t="shared" si="2"/>
        <v>243.8</v>
      </c>
      <c r="T46" s="205">
        <f t="shared" si="2"/>
        <v>191.86</v>
      </c>
      <c r="U46" s="205">
        <f t="shared" si="2"/>
        <v>159</v>
      </c>
      <c r="V46" s="205">
        <f t="shared" si="2"/>
        <v>135.68</v>
      </c>
      <c r="W46" s="205">
        <f t="shared" si="2"/>
        <v>119.78</v>
      </c>
      <c r="X46" s="205">
        <f t="shared" si="2"/>
        <v>89.04</v>
      </c>
      <c r="Y46" s="205">
        <f>Y45*1.07</f>
        <v>72.760000000000005</v>
      </c>
      <c r="Z46" s="206">
        <f>Z45*1.07</f>
        <v>52.43</v>
      </c>
    </row>
    <row r="47" spans="1:26" s="7" customFormat="1" ht="13.5" thickBot="1" x14ac:dyDescent="0.25">
      <c r="A47" s="178">
        <v>0.05</v>
      </c>
      <c r="B47" s="185">
        <v>434</v>
      </c>
      <c r="C47" s="88">
        <v>298</v>
      </c>
      <c r="D47" s="88">
        <v>233</v>
      </c>
      <c r="E47" s="88">
        <v>192</v>
      </c>
      <c r="F47" s="88">
        <v>145</v>
      </c>
      <c r="G47" s="88">
        <v>116</v>
      </c>
      <c r="H47" s="88">
        <v>96</v>
      </c>
      <c r="I47" s="88">
        <v>82</v>
      </c>
      <c r="J47" s="88">
        <v>57</v>
      </c>
      <c r="K47" s="88">
        <v>45</v>
      </c>
      <c r="L47" s="179">
        <v>31</v>
      </c>
      <c r="N47" s="173"/>
      <c r="O47" s="22">
        <v>0.01</v>
      </c>
      <c r="P47" s="207">
        <f>P45*1.09</f>
        <v>465.43</v>
      </c>
      <c r="Q47" s="208">
        <f>Q45*1.1</f>
        <v>357.50000000000006</v>
      </c>
      <c r="R47" s="208">
        <f>R45*1.11</f>
        <v>298.59000000000003</v>
      </c>
      <c r="S47" s="208">
        <f>S45*1.11</f>
        <v>255.3</v>
      </c>
      <c r="T47" s="208">
        <f>T45*1.11</f>
        <v>200.91000000000003</v>
      </c>
      <c r="U47" s="208">
        <f>U45*1.12</f>
        <v>168.00000000000003</v>
      </c>
      <c r="V47" s="208">
        <f>V45*1.12</f>
        <v>143.36000000000001</v>
      </c>
      <c r="W47" s="208">
        <f>W45*1.12</f>
        <v>126.56000000000002</v>
      </c>
      <c r="X47" s="208">
        <f>X45*1.13</f>
        <v>94.919999999999987</v>
      </c>
      <c r="Y47" s="208">
        <f>Y45*1.13</f>
        <v>76.839999999999989</v>
      </c>
      <c r="Z47" s="209">
        <f>Z45*1.14</f>
        <v>55.859999999999992</v>
      </c>
    </row>
    <row r="48" spans="1:26" s="7" customFormat="1" x14ac:dyDescent="0.2">
      <c r="A48" s="178">
        <v>3.3000000000000002E-2</v>
      </c>
      <c r="B48" s="185">
        <v>454</v>
      </c>
      <c r="C48" s="88">
        <v>316</v>
      </c>
      <c r="D48" s="88">
        <v>250</v>
      </c>
      <c r="E48" s="88">
        <v>205</v>
      </c>
      <c r="F48" s="88">
        <v>155</v>
      </c>
      <c r="G48" s="88">
        <v>126</v>
      </c>
      <c r="H48" s="88">
        <v>104</v>
      </c>
      <c r="I48" s="88">
        <v>90</v>
      </c>
      <c r="J48" s="88">
        <v>64</v>
      </c>
      <c r="K48" s="88">
        <v>50</v>
      </c>
      <c r="L48" s="179">
        <v>34</v>
      </c>
      <c r="N48" s="173"/>
      <c r="O48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</row>
    <row r="49" spans="1:26" s="7" customFormat="1" ht="13.5" thickBot="1" x14ac:dyDescent="0.25">
      <c r="A49" s="187">
        <v>0.02</v>
      </c>
      <c r="B49" s="185">
        <v>464</v>
      </c>
      <c r="C49" s="88">
        <v>328</v>
      </c>
      <c r="D49" s="88">
        <v>258</v>
      </c>
      <c r="E49" s="88">
        <v>212</v>
      </c>
      <c r="F49" s="88">
        <v>160</v>
      </c>
      <c r="G49" s="88">
        <v>131</v>
      </c>
      <c r="H49" s="88">
        <v>110</v>
      </c>
      <c r="I49" s="88">
        <v>95</v>
      </c>
      <c r="J49" s="88">
        <v>67</v>
      </c>
      <c r="K49" s="88">
        <v>53</v>
      </c>
      <c r="L49" s="179">
        <v>37</v>
      </c>
      <c r="N49" s="173">
        <v>5</v>
      </c>
      <c r="O49" s="49" t="s">
        <v>120</v>
      </c>
      <c r="P49" s="196"/>
      <c r="Q49" s="196"/>
      <c r="R49" s="197" t="s">
        <v>117</v>
      </c>
      <c r="S49" s="196"/>
      <c r="T49" s="196"/>
      <c r="U49" s="196"/>
      <c r="V49" s="196"/>
      <c r="W49" s="196"/>
      <c r="X49" s="196"/>
      <c r="Y49" s="196"/>
      <c r="Z49" s="196"/>
    </row>
    <row r="50" spans="1:26" s="7" customFormat="1" ht="13.5" thickBot="1" x14ac:dyDescent="0.25">
      <c r="A50" s="180">
        <v>0.01</v>
      </c>
      <c r="B50" s="188">
        <v>478</v>
      </c>
      <c r="C50" s="189">
        <v>339</v>
      </c>
      <c r="D50" s="189">
        <v>269</v>
      </c>
      <c r="E50" s="189">
        <v>222</v>
      </c>
      <c r="F50" s="189">
        <v>170</v>
      </c>
      <c r="G50" s="189">
        <v>140</v>
      </c>
      <c r="H50" s="189">
        <v>118</v>
      </c>
      <c r="I50" s="189">
        <v>100</v>
      </c>
      <c r="J50" s="189">
        <v>72</v>
      </c>
      <c r="K50" s="189">
        <v>56</v>
      </c>
      <c r="L50" s="190">
        <v>39</v>
      </c>
      <c r="N50" s="173"/>
      <c r="O50" s="174" t="s">
        <v>52</v>
      </c>
      <c r="P50" s="175">
        <v>5</v>
      </c>
      <c r="Q50" s="176">
        <v>10</v>
      </c>
      <c r="R50" s="176">
        <v>15</v>
      </c>
      <c r="S50" s="176">
        <v>20</v>
      </c>
      <c r="T50" s="176">
        <v>30</v>
      </c>
      <c r="U50" s="176">
        <v>40</v>
      </c>
      <c r="V50" s="176">
        <v>50</v>
      </c>
      <c r="W50" s="176">
        <v>60</v>
      </c>
      <c r="X50" s="176">
        <v>90</v>
      </c>
      <c r="Y50" s="176">
        <v>120</v>
      </c>
      <c r="Z50" s="177">
        <v>180</v>
      </c>
    </row>
    <row r="51" spans="1:26" s="7" customFormat="1" x14ac:dyDescent="0.2">
      <c r="A51" s="7" t="s">
        <v>184</v>
      </c>
      <c r="N51" s="173"/>
      <c r="O51" s="198">
        <v>1</v>
      </c>
      <c r="P51" s="201">
        <v>265</v>
      </c>
      <c r="Q51" s="88">
        <v>181</v>
      </c>
      <c r="R51" s="88">
        <v>138</v>
      </c>
      <c r="S51" s="88">
        <v>114</v>
      </c>
      <c r="T51" s="88">
        <v>84</v>
      </c>
      <c r="U51" s="88">
        <v>67</v>
      </c>
      <c r="V51" s="88">
        <v>56</v>
      </c>
      <c r="W51" s="88">
        <v>48</v>
      </c>
      <c r="X51" s="88">
        <v>34</v>
      </c>
      <c r="Y51" s="88">
        <v>26</v>
      </c>
      <c r="Z51" s="179">
        <v>18</v>
      </c>
    </row>
    <row r="52" spans="1:26" s="7" customFormat="1" x14ac:dyDescent="0.2">
      <c r="E52" s="15"/>
      <c r="N52" s="173"/>
      <c r="O52" s="178">
        <v>0.5</v>
      </c>
      <c r="P52" s="201">
        <v>335</v>
      </c>
      <c r="Q52" s="88">
        <v>231</v>
      </c>
      <c r="R52" s="88">
        <v>176</v>
      </c>
      <c r="S52" s="88">
        <v>143</v>
      </c>
      <c r="T52" s="88">
        <v>107</v>
      </c>
      <c r="U52" s="88">
        <v>85</v>
      </c>
      <c r="V52" s="88">
        <v>70</v>
      </c>
      <c r="W52" s="88">
        <v>60</v>
      </c>
      <c r="X52" s="88">
        <v>43</v>
      </c>
      <c r="Y52" s="88">
        <v>33</v>
      </c>
      <c r="Z52" s="179">
        <v>22</v>
      </c>
    </row>
    <row r="53" spans="1:26" s="7" customFormat="1" ht="13.5" thickBot="1" x14ac:dyDescent="0.25">
      <c r="A53" s="90" t="s">
        <v>79</v>
      </c>
      <c r="B53" s="90"/>
      <c r="C53" s="90"/>
      <c r="D53" s="90"/>
      <c r="E53" s="15"/>
      <c r="N53" s="173"/>
      <c r="O53" s="178">
        <v>0.2</v>
      </c>
      <c r="P53" s="201">
        <v>438</v>
      </c>
      <c r="Q53" s="88">
        <v>305</v>
      </c>
      <c r="R53" s="88">
        <v>231</v>
      </c>
      <c r="S53" s="88">
        <v>189</v>
      </c>
      <c r="T53" s="88">
        <v>139</v>
      </c>
      <c r="U53" s="88">
        <v>110</v>
      </c>
      <c r="V53" s="88">
        <v>91</v>
      </c>
      <c r="W53" s="88">
        <v>78</v>
      </c>
      <c r="X53" s="88">
        <v>55</v>
      </c>
      <c r="Y53" s="88">
        <v>42</v>
      </c>
      <c r="Z53" s="179">
        <v>28</v>
      </c>
    </row>
    <row r="54" spans="1:26" s="7" customFormat="1" ht="13.5" thickBot="1" x14ac:dyDescent="0.25">
      <c r="A54" s="8"/>
      <c r="B54" s="119">
        <v>5</v>
      </c>
      <c r="C54" s="120">
        <v>10</v>
      </c>
      <c r="D54" s="120">
        <v>15</v>
      </c>
      <c r="E54" s="120">
        <v>20</v>
      </c>
      <c r="F54" s="120">
        <v>30</v>
      </c>
      <c r="G54" s="120">
        <v>40</v>
      </c>
      <c r="H54" s="120">
        <v>50</v>
      </c>
      <c r="I54" s="120">
        <v>60</v>
      </c>
      <c r="J54" s="120">
        <v>90</v>
      </c>
      <c r="K54" s="120">
        <v>120</v>
      </c>
      <c r="L54" s="121">
        <v>180</v>
      </c>
      <c r="N54" s="173"/>
      <c r="O54" s="178">
        <v>0.1</v>
      </c>
      <c r="P54" s="201">
        <v>542</v>
      </c>
      <c r="Q54" s="88">
        <v>369</v>
      </c>
      <c r="R54" s="88">
        <v>278</v>
      </c>
      <c r="S54" s="88">
        <v>224</v>
      </c>
      <c r="T54" s="88">
        <v>163</v>
      </c>
      <c r="U54" s="88">
        <v>130</v>
      </c>
      <c r="V54" s="88">
        <v>106</v>
      </c>
      <c r="W54" s="88">
        <v>90</v>
      </c>
      <c r="X54" s="88">
        <v>64</v>
      </c>
      <c r="Y54" s="88">
        <v>49</v>
      </c>
      <c r="Z54" s="179">
        <v>33</v>
      </c>
    </row>
    <row r="55" spans="1:26" s="7" customFormat="1" x14ac:dyDescent="0.2">
      <c r="A55" s="116">
        <v>1</v>
      </c>
      <c r="B55" s="123">
        <f>B43/10000*E29</f>
        <v>64.02816</v>
      </c>
      <c r="C55" s="124">
        <f>C43/10000*E29</f>
        <v>43.161840000000005</v>
      </c>
      <c r="D55" s="124">
        <f>D43/10000*E29</f>
        <v>33.443280000000001</v>
      </c>
      <c r="E55" s="124">
        <f>E43/10000*E29</f>
        <v>27.440639999999998</v>
      </c>
      <c r="F55" s="124">
        <f>F43/10000*E29</f>
        <v>20.580480000000001</v>
      </c>
      <c r="G55" s="124">
        <f>G43/10000*E29</f>
        <v>16.578720000000001</v>
      </c>
      <c r="H55" s="124">
        <f>H43/10000*E29</f>
        <v>14.006159999999999</v>
      </c>
      <c r="I55" s="124">
        <f>I43/10000*E29</f>
        <v>12.005279999999999</v>
      </c>
      <c r="J55" s="124">
        <f>J43/10000*E29</f>
        <v>8.5752000000000006</v>
      </c>
      <c r="K55" s="124">
        <f>K43/10000*E29</f>
        <v>6.8601599999999996</v>
      </c>
      <c r="L55" s="125">
        <f>L43/10000*E29</f>
        <v>4.85928</v>
      </c>
      <c r="N55" s="173"/>
      <c r="O55" s="178">
        <v>0.05</v>
      </c>
      <c r="P55" s="201">
        <v>620</v>
      </c>
      <c r="Q55" s="88">
        <v>428</v>
      </c>
      <c r="R55" s="88">
        <v>320</v>
      </c>
      <c r="S55" s="88">
        <v>256</v>
      </c>
      <c r="T55" s="88">
        <v>185</v>
      </c>
      <c r="U55" s="88">
        <v>145</v>
      </c>
      <c r="V55" s="88">
        <v>118</v>
      </c>
      <c r="W55" s="88">
        <v>100</v>
      </c>
      <c r="X55" s="88">
        <v>69</v>
      </c>
      <c r="Y55" s="88">
        <v>54</v>
      </c>
      <c r="Z55" s="179">
        <v>37</v>
      </c>
    </row>
    <row r="56" spans="1:26" s="7" customFormat="1" ht="13.5" thickBot="1" x14ac:dyDescent="0.25">
      <c r="A56" s="117">
        <v>0.5</v>
      </c>
      <c r="B56" s="126">
        <f>B44/10000*E29</f>
        <v>78.320160000000001</v>
      </c>
      <c r="C56" s="122">
        <f>C44/10000*E29</f>
        <v>52.594560000000001</v>
      </c>
      <c r="D56" s="122">
        <f>D44/10000*E29</f>
        <v>40.589280000000002</v>
      </c>
      <c r="E56" s="122">
        <f>E44/10000*E29</f>
        <v>33.443280000000001</v>
      </c>
      <c r="F56" s="122">
        <f>F44/10000*E29</f>
        <v>25.153920000000003</v>
      </c>
      <c r="G56" s="122">
        <f>G44/10000*E29</f>
        <v>20.294640000000001</v>
      </c>
      <c r="H56" s="122">
        <f>H44/10000*E29</f>
        <v>17.150400000000001</v>
      </c>
      <c r="I56" s="122">
        <f>I44/10000*E29</f>
        <v>14.86368</v>
      </c>
      <c r="J56" s="122">
        <f>J44/10000*E29</f>
        <v>10.86192</v>
      </c>
      <c r="K56" s="122">
        <f>K44/10000*E29</f>
        <v>8.00352</v>
      </c>
      <c r="L56" s="127">
        <f>L44/10000*E29</f>
        <v>5.7168000000000001</v>
      </c>
      <c r="N56" s="173"/>
      <c r="O56" s="180">
        <v>3.3000000000000002E-2</v>
      </c>
      <c r="P56" s="201">
        <v>702</v>
      </c>
      <c r="Q56" s="202">
        <v>462</v>
      </c>
      <c r="R56" s="202">
        <v>345</v>
      </c>
      <c r="S56" s="202">
        <v>276</v>
      </c>
      <c r="T56" s="202">
        <v>198</v>
      </c>
      <c r="U56" s="202">
        <v>155</v>
      </c>
      <c r="V56" s="202">
        <v>127</v>
      </c>
      <c r="W56" s="202">
        <v>106</v>
      </c>
      <c r="X56" s="202">
        <v>74</v>
      </c>
      <c r="Y56" s="202">
        <v>57</v>
      </c>
      <c r="Z56" s="179">
        <v>40</v>
      </c>
    </row>
    <row r="57" spans="1:26" s="7" customFormat="1" x14ac:dyDescent="0.2">
      <c r="A57" s="117">
        <v>0.2</v>
      </c>
      <c r="B57" s="126">
        <f>B45/10000*E29</f>
        <v>98.614800000000017</v>
      </c>
      <c r="C57" s="122">
        <f>C45/10000*E29</f>
        <v>66.60072000000001</v>
      </c>
      <c r="D57" s="122">
        <f>D45/10000*E29</f>
        <v>51.4512</v>
      </c>
      <c r="E57" s="122">
        <f>E45/10000*E29</f>
        <v>42.018479999999997</v>
      </c>
      <c r="F57" s="122">
        <f>F45/10000*E29</f>
        <v>31.442399999999999</v>
      </c>
      <c r="G57" s="122">
        <f>G45/10000*E29</f>
        <v>25.153920000000003</v>
      </c>
      <c r="H57" s="122">
        <f>H45/10000*E29</f>
        <v>21.152160000000002</v>
      </c>
      <c r="I57" s="122">
        <f>I45/10000*E29</f>
        <v>18.293760000000002</v>
      </c>
      <c r="J57" s="122">
        <f>J45/10000*E29</f>
        <v>13.14864</v>
      </c>
      <c r="K57" s="122">
        <f>K45/10000*E29</f>
        <v>10.290240000000001</v>
      </c>
      <c r="L57" s="127">
        <f>L45/10000*E29</f>
        <v>7.1460000000000008</v>
      </c>
      <c r="N57" s="173"/>
      <c r="O57" s="203">
        <v>0.02</v>
      </c>
      <c r="P57" s="204">
        <f>P56*1.04</f>
        <v>730.08</v>
      </c>
      <c r="Q57" s="205">
        <f>Q56*1.05</f>
        <v>485.1</v>
      </c>
      <c r="R57" s="205">
        <f t="shared" ref="R57:X57" si="3">R56*1.06</f>
        <v>365.70000000000005</v>
      </c>
      <c r="S57" s="205">
        <f t="shared" si="3"/>
        <v>292.56</v>
      </c>
      <c r="T57" s="205">
        <f t="shared" si="3"/>
        <v>209.88000000000002</v>
      </c>
      <c r="U57" s="205">
        <f t="shared" si="3"/>
        <v>164.3</v>
      </c>
      <c r="V57" s="205">
        <f t="shared" si="3"/>
        <v>134.62</v>
      </c>
      <c r="W57" s="205">
        <f t="shared" si="3"/>
        <v>112.36</v>
      </c>
      <c r="X57" s="205">
        <f t="shared" si="3"/>
        <v>78.44</v>
      </c>
      <c r="Y57" s="205">
        <f>Y56*1.07</f>
        <v>60.99</v>
      </c>
      <c r="Z57" s="206">
        <f>Z56*1.07</f>
        <v>42.800000000000004</v>
      </c>
    </row>
    <row r="58" spans="1:26" s="7" customFormat="1" ht="13.5" thickBot="1" x14ac:dyDescent="0.25">
      <c r="A58" s="117">
        <v>0.1</v>
      </c>
      <c r="B58" s="126">
        <f>B46/10000*E29</f>
        <v>111.76344000000002</v>
      </c>
      <c r="C58" s="122">
        <f>C46/10000*E29</f>
        <v>76.319280000000006</v>
      </c>
      <c r="D58" s="122">
        <f>D46/10000*E29</f>
        <v>59.740559999999995</v>
      </c>
      <c r="E58" s="122">
        <f>E46/10000*E29</f>
        <v>49.164480000000005</v>
      </c>
      <c r="F58" s="122">
        <f>F46/10000*E29</f>
        <v>36.587520000000005</v>
      </c>
      <c r="G58" s="122">
        <f>G46/10000*E29</f>
        <v>29.441520000000001</v>
      </c>
      <c r="H58" s="122">
        <f>H46/10000*E29</f>
        <v>24.582240000000002</v>
      </c>
      <c r="I58" s="122">
        <f>I46/10000*E29</f>
        <v>21.152160000000002</v>
      </c>
      <c r="J58" s="122">
        <f>J46/10000*E29</f>
        <v>14.86368</v>
      </c>
      <c r="K58" s="122">
        <f>K46/10000*E29</f>
        <v>11.719440000000001</v>
      </c>
      <c r="L58" s="127">
        <f>L46/10000*E29</f>
        <v>8.00352</v>
      </c>
      <c r="N58" s="173"/>
      <c r="O58" s="22">
        <v>0.01</v>
      </c>
      <c r="P58" s="207">
        <f>P56*1.09</f>
        <v>765.18000000000006</v>
      </c>
      <c r="Q58" s="208">
        <f>Q56*1.1</f>
        <v>508.20000000000005</v>
      </c>
      <c r="R58" s="208">
        <f>R56*1.11</f>
        <v>382.95000000000005</v>
      </c>
      <c r="S58" s="208">
        <f>S56*1.11</f>
        <v>306.36</v>
      </c>
      <c r="T58" s="208">
        <f>T56*1.11</f>
        <v>219.78000000000003</v>
      </c>
      <c r="U58" s="208">
        <f>U56*1.12</f>
        <v>173.60000000000002</v>
      </c>
      <c r="V58" s="208">
        <f>V56*1.12</f>
        <v>142.24</v>
      </c>
      <c r="W58" s="208">
        <f>W56*1.12</f>
        <v>118.72000000000001</v>
      </c>
      <c r="X58" s="208">
        <f>X56*1.13</f>
        <v>83.61999999999999</v>
      </c>
      <c r="Y58" s="208">
        <f>Y56*1.13</f>
        <v>64.41</v>
      </c>
      <c r="Z58" s="209">
        <f>Z56*1.14</f>
        <v>45.599999999999994</v>
      </c>
    </row>
    <row r="59" spans="1:26" s="7" customFormat="1" x14ac:dyDescent="0.2">
      <c r="A59" s="117">
        <v>0.05</v>
      </c>
      <c r="B59" s="126">
        <f>B47/10000*E29</f>
        <v>124.05456000000001</v>
      </c>
      <c r="C59" s="122">
        <f>C47/10000*E29</f>
        <v>85.180320000000009</v>
      </c>
      <c r="D59" s="122">
        <f>D47/10000*E29</f>
        <v>66.60072000000001</v>
      </c>
      <c r="E59" s="122">
        <f>E47/10000*E29</f>
        <v>54.881279999999997</v>
      </c>
      <c r="F59" s="122">
        <f>F47/10000*E29</f>
        <v>41.446800000000003</v>
      </c>
      <c r="G59" s="122">
        <f>G47/10000*E29</f>
        <v>33.157440000000001</v>
      </c>
      <c r="H59" s="122">
        <f>H47/10000*E29</f>
        <v>27.440639999999998</v>
      </c>
      <c r="I59" s="122">
        <f>I47/10000*E29</f>
        <v>23.438880000000001</v>
      </c>
      <c r="J59" s="122">
        <f>J47/10000*E29</f>
        <v>16.29288</v>
      </c>
      <c r="K59" s="122">
        <f>K47/10000*E29</f>
        <v>12.8628</v>
      </c>
      <c r="L59" s="127">
        <f>L47/10000*E29</f>
        <v>8.8610399999999991</v>
      </c>
      <c r="N59" s="173"/>
      <c r="O59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</row>
    <row r="60" spans="1:26" s="7" customFormat="1" ht="13.5" thickBot="1" x14ac:dyDescent="0.25">
      <c r="A60" s="117">
        <v>3.3000000000000002E-2</v>
      </c>
      <c r="B60" s="126">
        <f>B48/10000*E29</f>
        <v>129.77136000000002</v>
      </c>
      <c r="C60" s="122">
        <f>C48/10000*E29</f>
        <v>90.325440000000015</v>
      </c>
      <c r="D60" s="122">
        <f>D48/10000*E29</f>
        <v>71.460000000000008</v>
      </c>
      <c r="E60" s="122">
        <f>E48/10000*E29</f>
        <v>58.597200000000001</v>
      </c>
      <c r="F60" s="122">
        <f>F48/10000*E29</f>
        <v>44.305199999999999</v>
      </c>
      <c r="G60" s="122">
        <f>G48/10000*E29</f>
        <v>36.015840000000004</v>
      </c>
      <c r="H60" s="122">
        <f>H48/10000*E29</f>
        <v>29.727360000000001</v>
      </c>
      <c r="I60" s="122">
        <f>I48/10000*E29</f>
        <v>25.7256</v>
      </c>
      <c r="J60" s="122">
        <f>J48/10000*E29</f>
        <v>18.293760000000002</v>
      </c>
      <c r="K60" s="122">
        <f>K48/10000*E29</f>
        <v>14.292000000000002</v>
      </c>
      <c r="L60" s="127">
        <f>L48/10000*E29</f>
        <v>9.7185600000000001</v>
      </c>
      <c r="N60" s="173">
        <v>6</v>
      </c>
      <c r="O60" s="49" t="s">
        <v>121</v>
      </c>
      <c r="P60" s="196"/>
      <c r="Q60" s="196"/>
      <c r="R60" s="197" t="s">
        <v>117</v>
      </c>
      <c r="S60" s="196"/>
      <c r="T60" s="196"/>
      <c r="U60" s="196"/>
      <c r="V60" s="196"/>
      <c r="W60" s="196"/>
      <c r="X60" s="196"/>
      <c r="Y60" s="196"/>
      <c r="Z60" s="196"/>
    </row>
    <row r="61" spans="1:26" s="7" customFormat="1" ht="13.5" thickBot="1" x14ac:dyDescent="0.25">
      <c r="A61" s="117">
        <v>0.02</v>
      </c>
      <c r="B61" s="126">
        <f>B49/10000*E29</f>
        <v>132.62976</v>
      </c>
      <c r="C61" s="122">
        <f>C49/10000*E29</f>
        <v>93.755520000000004</v>
      </c>
      <c r="D61" s="122">
        <f>D49/10000*E29</f>
        <v>73.746719999999996</v>
      </c>
      <c r="E61" s="122">
        <f>E49/10000*E29</f>
        <v>60.598080000000003</v>
      </c>
      <c r="F61" s="122">
        <f>F49/10000*E29</f>
        <v>45.734400000000001</v>
      </c>
      <c r="G61" s="122">
        <f>G49/10000*E29</f>
        <v>37.445040000000006</v>
      </c>
      <c r="H61" s="122">
        <f>H49/10000*E29</f>
        <v>31.442399999999999</v>
      </c>
      <c r="I61" s="122">
        <f>I49/10000*E29</f>
        <v>27.154800000000002</v>
      </c>
      <c r="J61" s="122">
        <f>J49/10000*E29</f>
        <v>19.15128</v>
      </c>
      <c r="K61" s="122">
        <f>K49/10000*E29</f>
        <v>15.149520000000001</v>
      </c>
      <c r="L61" s="127">
        <f>L49/10000*E29</f>
        <v>10.576080000000001</v>
      </c>
      <c r="N61" s="173"/>
      <c r="O61" s="174" t="s">
        <v>52</v>
      </c>
      <c r="P61" s="175">
        <v>5</v>
      </c>
      <c r="Q61" s="176">
        <v>10</v>
      </c>
      <c r="R61" s="176">
        <v>15</v>
      </c>
      <c r="S61" s="176">
        <v>20</v>
      </c>
      <c r="T61" s="176">
        <v>30</v>
      </c>
      <c r="U61" s="176">
        <v>40</v>
      </c>
      <c r="V61" s="176">
        <v>50</v>
      </c>
      <c r="W61" s="176">
        <v>60</v>
      </c>
      <c r="X61" s="176">
        <v>90</v>
      </c>
      <c r="Y61" s="176">
        <v>120</v>
      </c>
      <c r="Z61" s="177">
        <v>180</v>
      </c>
    </row>
    <row r="62" spans="1:26" s="7" customFormat="1" ht="13.5" thickBot="1" x14ac:dyDescent="0.25">
      <c r="A62" s="118">
        <v>0.01</v>
      </c>
      <c r="B62" s="128">
        <f>B50/10000*E29</f>
        <v>136.63152000000002</v>
      </c>
      <c r="C62" s="129">
        <f>C50/10000*E29</f>
        <v>96.899760000000001</v>
      </c>
      <c r="D62" s="129">
        <f>D50/10000*E29</f>
        <v>76.890960000000007</v>
      </c>
      <c r="E62" s="129">
        <f>E50/10000*E29</f>
        <v>63.456480000000006</v>
      </c>
      <c r="F62" s="129">
        <f>F50/10000*E29</f>
        <v>48.592800000000004</v>
      </c>
      <c r="G62" s="129">
        <f>G50/10000*E29</f>
        <v>40.017600000000002</v>
      </c>
      <c r="H62" s="129">
        <f>H50/10000*E29</f>
        <v>33.729120000000002</v>
      </c>
      <c r="I62" s="129">
        <f>I50/10000*E29</f>
        <v>28.584000000000003</v>
      </c>
      <c r="J62" s="129">
        <f>J50/10000*E29</f>
        <v>20.580480000000001</v>
      </c>
      <c r="K62" s="129">
        <f>K50/10000*E29</f>
        <v>16.00704</v>
      </c>
      <c r="L62" s="130">
        <f>L50/10000*E29</f>
        <v>11.14776</v>
      </c>
      <c r="N62" s="173"/>
      <c r="O62" s="198">
        <v>1</v>
      </c>
      <c r="P62" s="201">
        <v>310</v>
      </c>
      <c r="Q62" s="88">
        <v>193</v>
      </c>
      <c r="R62" s="88">
        <v>143</v>
      </c>
      <c r="S62" s="88">
        <v>116</v>
      </c>
      <c r="T62" s="88">
        <v>83</v>
      </c>
      <c r="U62" s="88">
        <v>66</v>
      </c>
      <c r="V62" s="88">
        <v>54</v>
      </c>
      <c r="W62" s="88">
        <v>46</v>
      </c>
      <c r="X62" s="88">
        <v>31</v>
      </c>
      <c r="Y62" s="88">
        <v>23</v>
      </c>
      <c r="Z62" s="179">
        <v>15</v>
      </c>
    </row>
    <row r="63" spans="1:26" s="7" customFormat="1" x14ac:dyDescent="0.2">
      <c r="N63" s="173"/>
      <c r="O63" s="178">
        <v>0.5</v>
      </c>
      <c r="P63" s="201">
        <v>380</v>
      </c>
      <c r="Q63" s="88">
        <v>240</v>
      </c>
      <c r="R63" s="88">
        <v>182</v>
      </c>
      <c r="S63" s="88">
        <v>147</v>
      </c>
      <c r="T63" s="88">
        <v>107</v>
      </c>
      <c r="U63" s="88">
        <v>84</v>
      </c>
      <c r="V63" s="88">
        <v>70</v>
      </c>
      <c r="W63" s="88">
        <v>60</v>
      </c>
      <c r="X63" s="88">
        <v>41</v>
      </c>
      <c r="Y63" s="88">
        <v>31</v>
      </c>
      <c r="Z63" s="179">
        <v>21</v>
      </c>
    </row>
    <row r="64" spans="1:26" s="7" customFormat="1" ht="13.5" thickBot="1" x14ac:dyDescent="0.25">
      <c r="A64" s="90" t="s">
        <v>42</v>
      </c>
      <c r="B64" s="90"/>
      <c r="C64" s="90"/>
      <c r="D64" s="90"/>
      <c r="E64" s="90"/>
      <c r="F64" s="90"/>
      <c r="G64" s="90"/>
      <c r="H64" s="90"/>
      <c r="N64" s="173"/>
      <c r="O64" s="178">
        <v>0.2</v>
      </c>
      <c r="P64" s="201">
        <v>490</v>
      </c>
      <c r="Q64" s="88">
        <v>318</v>
      </c>
      <c r="R64" s="88">
        <v>240</v>
      </c>
      <c r="S64" s="88">
        <v>193</v>
      </c>
      <c r="T64" s="88">
        <v>142</v>
      </c>
      <c r="U64" s="88">
        <v>113</v>
      </c>
      <c r="V64" s="88">
        <v>93</v>
      </c>
      <c r="W64" s="88">
        <v>80</v>
      </c>
      <c r="X64" s="88">
        <v>56</v>
      </c>
      <c r="Y64" s="88">
        <v>43</v>
      </c>
      <c r="Z64" s="179">
        <v>29</v>
      </c>
    </row>
    <row r="65" spans="1:26" s="7" customFormat="1" ht="13.5" thickBot="1" x14ac:dyDescent="0.25">
      <c r="A65" s="8"/>
      <c r="B65" s="119">
        <v>5</v>
      </c>
      <c r="C65" s="120">
        <v>10</v>
      </c>
      <c r="D65" s="120">
        <v>15</v>
      </c>
      <c r="E65" s="120">
        <v>20</v>
      </c>
      <c r="F65" s="120">
        <v>30</v>
      </c>
      <c r="G65" s="120">
        <v>40</v>
      </c>
      <c r="H65" s="120">
        <v>50</v>
      </c>
      <c r="I65" s="120">
        <v>60</v>
      </c>
      <c r="J65" s="120">
        <v>90</v>
      </c>
      <c r="K65" s="120">
        <v>120</v>
      </c>
      <c r="L65" s="121">
        <v>180</v>
      </c>
      <c r="N65" s="173"/>
      <c r="O65" s="178">
        <v>0.1</v>
      </c>
      <c r="P65" s="201">
        <v>568</v>
      </c>
      <c r="Q65" s="88">
        <v>370</v>
      </c>
      <c r="R65" s="88">
        <v>282</v>
      </c>
      <c r="S65" s="88">
        <v>230</v>
      </c>
      <c r="T65" s="88">
        <v>169</v>
      </c>
      <c r="U65" s="88">
        <v>136</v>
      </c>
      <c r="V65" s="88">
        <v>112</v>
      </c>
      <c r="W65" s="88">
        <v>96</v>
      </c>
      <c r="X65" s="88">
        <v>68</v>
      </c>
      <c r="Y65" s="88">
        <v>53</v>
      </c>
      <c r="Z65" s="179">
        <v>36</v>
      </c>
    </row>
    <row r="66" spans="1:26" s="7" customFormat="1" x14ac:dyDescent="0.2">
      <c r="A66" s="116">
        <v>1</v>
      </c>
      <c r="B66" s="97">
        <f t="shared" ref="B66:B73" si="4">B43*$B$42*60/10000*$E$29/1000</f>
        <v>19.208448000000001</v>
      </c>
      <c r="C66" s="132">
        <f t="shared" ref="C66:C73" si="5">C43*$C$42*60/10000*$E$29/1000</f>
        <v>25.897104000000002</v>
      </c>
      <c r="D66" s="132">
        <f t="shared" ref="D66:D73" si="6">D43*$D$42*60/10000*$E$29/1000</f>
        <v>30.098951999999997</v>
      </c>
      <c r="E66" s="132">
        <f t="shared" ref="E66:E73" si="7">E43*$E$42*60/10000*$E$29/1000</f>
        <v>32.928767999999998</v>
      </c>
      <c r="F66" s="132">
        <f t="shared" ref="F66:F73" si="8">F43*$F$42*60/10000*$E$29/1000</f>
        <v>37.044864000000004</v>
      </c>
      <c r="G66" s="132">
        <f t="shared" ref="G66:G73" si="9">G43*$G$42*60/10000*$E$29/1000</f>
        <v>39.788927999999999</v>
      </c>
      <c r="H66" s="132">
        <f t="shared" ref="H66:H73" si="10">H43*$H$42*60/10000*$E$29/1000</f>
        <v>42.018479999999997</v>
      </c>
      <c r="I66" s="132">
        <f t="shared" ref="I66:I73" si="11">I43*$I$42*60/10000*$E$29/1000</f>
        <v>43.219008000000002</v>
      </c>
      <c r="J66" s="132">
        <f t="shared" ref="J66:J73" si="12">J43*$J$42*60/10000*$E$29/1000</f>
        <v>46.306080000000001</v>
      </c>
      <c r="K66" s="132">
        <f t="shared" ref="K66:K73" si="13">K43*$K$42*60/10000*$E$29/1000</f>
        <v>49.393152000000001</v>
      </c>
      <c r="L66" s="133">
        <f t="shared" ref="L66:L73" si="14">L43*$L$42*60/10000*$E$29/1000</f>
        <v>52.480224</v>
      </c>
      <c r="N66" s="173"/>
      <c r="O66" s="178">
        <v>0.05</v>
      </c>
      <c r="P66" s="201">
        <v>620</v>
      </c>
      <c r="Q66" s="88">
        <v>432</v>
      </c>
      <c r="R66" s="88">
        <v>334</v>
      </c>
      <c r="S66" s="88">
        <v>271</v>
      </c>
      <c r="T66" s="88">
        <v>198</v>
      </c>
      <c r="U66" s="88">
        <v>156</v>
      </c>
      <c r="V66" s="88">
        <v>129</v>
      </c>
      <c r="W66" s="88">
        <v>110</v>
      </c>
      <c r="X66" s="88">
        <v>79</v>
      </c>
      <c r="Y66" s="88">
        <v>62</v>
      </c>
      <c r="Z66" s="179">
        <v>44</v>
      </c>
    </row>
    <row r="67" spans="1:26" s="7" customFormat="1" ht="13.5" thickBot="1" x14ac:dyDescent="0.25">
      <c r="A67" s="117">
        <v>0.5</v>
      </c>
      <c r="B67" s="134">
        <f t="shared" si="4"/>
        <v>23.496048000000002</v>
      </c>
      <c r="C67" s="131">
        <f t="shared" si="5"/>
        <v>31.556735999999997</v>
      </c>
      <c r="D67" s="131">
        <f t="shared" si="6"/>
        <v>36.530352000000001</v>
      </c>
      <c r="E67" s="131">
        <f t="shared" si="7"/>
        <v>40.131936000000003</v>
      </c>
      <c r="F67" s="131">
        <f t="shared" si="8"/>
        <v>45.277056000000002</v>
      </c>
      <c r="G67" s="131">
        <f t="shared" si="9"/>
        <v>48.707135999999998</v>
      </c>
      <c r="H67" s="131">
        <f t="shared" si="10"/>
        <v>51.451200000000007</v>
      </c>
      <c r="I67" s="131">
        <f t="shared" si="11"/>
        <v>53.509247999999999</v>
      </c>
      <c r="J67" s="131">
        <f t="shared" si="12"/>
        <v>58.654368000000005</v>
      </c>
      <c r="K67" s="131">
        <f t="shared" si="13"/>
        <v>57.625344000000005</v>
      </c>
      <c r="L67" s="135">
        <f t="shared" si="14"/>
        <v>61.741440000000011</v>
      </c>
      <c r="N67" s="173"/>
      <c r="O67" s="180">
        <v>3.3000000000000002E-2</v>
      </c>
      <c r="P67" s="201">
        <v>660</v>
      </c>
      <c r="Q67" s="202">
        <v>460</v>
      </c>
      <c r="R67" s="202">
        <v>358</v>
      </c>
      <c r="S67" s="202">
        <v>290</v>
      </c>
      <c r="T67" s="202">
        <v>213</v>
      </c>
      <c r="U67" s="202">
        <v>168</v>
      </c>
      <c r="V67" s="202">
        <v>139</v>
      </c>
      <c r="W67" s="202">
        <v>120</v>
      </c>
      <c r="X67" s="202">
        <v>84</v>
      </c>
      <c r="Y67" s="202">
        <v>67</v>
      </c>
      <c r="Z67" s="179">
        <v>48</v>
      </c>
    </row>
    <row r="68" spans="1:26" s="7" customFormat="1" x14ac:dyDescent="0.2">
      <c r="A68" s="117">
        <v>0.2</v>
      </c>
      <c r="B68" s="134">
        <f t="shared" si="4"/>
        <v>29.584439999999997</v>
      </c>
      <c r="C68" s="131">
        <f t="shared" si="5"/>
        <v>39.960431999999997</v>
      </c>
      <c r="D68" s="131">
        <f t="shared" si="6"/>
        <v>46.306080000000001</v>
      </c>
      <c r="E68" s="131">
        <f t="shared" si="7"/>
        <v>50.422176000000007</v>
      </c>
      <c r="F68" s="131">
        <f t="shared" si="8"/>
        <v>56.596320000000006</v>
      </c>
      <c r="G68" s="131">
        <f t="shared" si="9"/>
        <v>60.369408</v>
      </c>
      <c r="H68" s="131">
        <f t="shared" si="10"/>
        <v>63.456480000000006</v>
      </c>
      <c r="I68" s="131">
        <f t="shared" si="11"/>
        <v>65.857535999999996</v>
      </c>
      <c r="J68" s="131">
        <f t="shared" si="12"/>
        <v>71.002656000000002</v>
      </c>
      <c r="K68" s="131">
        <f t="shared" si="13"/>
        <v>74.089728000000008</v>
      </c>
      <c r="L68" s="135">
        <f t="shared" si="14"/>
        <v>77.1768</v>
      </c>
      <c r="N68" s="173"/>
      <c r="O68" s="203">
        <v>0.02</v>
      </c>
      <c r="P68" s="204">
        <f>P67*1.04</f>
        <v>686.4</v>
      </c>
      <c r="Q68" s="205">
        <f>Q67*1.05</f>
        <v>483</v>
      </c>
      <c r="R68" s="205">
        <f t="shared" ref="R68:X68" si="15">R67*1.06</f>
        <v>379.48</v>
      </c>
      <c r="S68" s="205">
        <f t="shared" si="15"/>
        <v>307.40000000000003</v>
      </c>
      <c r="T68" s="205">
        <f t="shared" si="15"/>
        <v>225.78</v>
      </c>
      <c r="U68" s="205">
        <f t="shared" si="15"/>
        <v>178.08</v>
      </c>
      <c r="V68" s="205">
        <f t="shared" si="15"/>
        <v>147.34</v>
      </c>
      <c r="W68" s="205">
        <f t="shared" si="15"/>
        <v>127.2</v>
      </c>
      <c r="X68" s="205">
        <f t="shared" si="15"/>
        <v>89.04</v>
      </c>
      <c r="Y68" s="205">
        <f>Y67*1.07</f>
        <v>71.69</v>
      </c>
      <c r="Z68" s="206">
        <f>Z67*1.07</f>
        <v>51.36</v>
      </c>
    </row>
    <row r="69" spans="1:26" s="7" customFormat="1" ht="13.5" thickBot="1" x14ac:dyDescent="0.25">
      <c r="A69" s="117">
        <v>0.1</v>
      </c>
      <c r="B69" s="134">
        <f t="shared" si="4"/>
        <v>33.529032000000001</v>
      </c>
      <c r="C69" s="131">
        <f t="shared" si="5"/>
        <v>45.791567999999998</v>
      </c>
      <c r="D69" s="131">
        <f t="shared" si="6"/>
        <v>53.766503999999998</v>
      </c>
      <c r="E69" s="131">
        <f t="shared" si="7"/>
        <v>58.997376000000003</v>
      </c>
      <c r="F69" s="131">
        <f t="shared" si="8"/>
        <v>65.857535999999996</v>
      </c>
      <c r="G69" s="131">
        <f t="shared" si="9"/>
        <v>70.659648000000004</v>
      </c>
      <c r="H69" s="131">
        <f t="shared" si="10"/>
        <v>73.746719999999996</v>
      </c>
      <c r="I69" s="131">
        <f t="shared" si="11"/>
        <v>76.147775999999993</v>
      </c>
      <c r="J69" s="131">
        <f t="shared" si="12"/>
        <v>80.263872000000006</v>
      </c>
      <c r="K69" s="131">
        <f t="shared" si="13"/>
        <v>84.379968000000005</v>
      </c>
      <c r="L69" s="135">
        <f t="shared" si="14"/>
        <v>86.438016000000005</v>
      </c>
      <c r="N69" s="173"/>
      <c r="O69" s="22">
        <v>0.01</v>
      </c>
      <c r="P69" s="207">
        <f>P67*1.09</f>
        <v>719.40000000000009</v>
      </c>
      <c r="Q69" s="208">
        <f>Q67*1.1</f>
        <v>506.00000000000006</v>
      </c>
      <c r="R69" s="208">
        <f>R67*1.11</f>
        <v>397.38000000000005</v>
      </c>
      <c r="S69" s="208">
        <f>S67*1.11</f>
        <v>321.90000000000003</v>
      </c>
      <c r="T69" s="208">
        <f>T67*1.11</f>
        <v>236.43</v>
      </c>
      <c r="U69" s="208">
        <f>U67*1.12</f>
        <v>188.16000000000003</v>
      </c>
      <c r="V69" s="208">
        <f>V67*1.12</f>
        <v>155.68</v>
      </c>
      <c r="W69" s="208">
        <f>W67*1.12</f>
        <v>134.4</v>
      </c>
      <c r="X69" s="208">
        <f>X67*1.13</f>
        <v>94.919999999999987</v>
      </c>
      <c r="Y69" s="208">
        <f>Y67*1.13</f>
        <v>75.709999999999994</v>
      </c>
      <c r="Z69" s="209">
        <f>Z67*1.14</f>
        <v>54.72</v>
      </c>
    </row>
    <row r="70" spans="1:26" s="7" customFormat="1" x14ac:dyDescent="0.2">
      <c r="A70" s="117">
        <v>0.05</v>
      </c>
      <c r="B70" s="134">
        <f t="shared" si="4"/>
        <v>37.216368000000003</v>
      </c>
      <c r="C70" s="131">
        <f t="shared" si="5"/>
        <v>51.108191999999995</v>
      </c>
      <c r="D70" s="131">
        <f t="shared" si="6"/>
        <v>59.940648000000003</v>
      </c>
      <c r="E70" s="131">
        <f t="shared" si="7"/>
        <v>65.857535999999996</v>
      </c>
      <c r="F70" s="131">
        <f t="shared" si="8"/>
        <v>74.604240000000004</v>
      </c>
      <c r="G70" s="131">
        <f t="shared" si="9"/>
        <v>79.577855999999997</v>
      </c>
      <c r="H70" s="131">
        <f t="shared" si="10"/>
        <v>82.321919999999992</v>
      </c>
      <c r="I70" s="131">
        <f t="shared" si="11"/>
        <v>84.379968000000005</v>
      </c>
      <c r="J70" s="131">
        <f t="shared" si="12"/>
        <v>87.981552000000008</v>
      </c>
      <c r="K70" s="131">
        <f t="shared" si="13"/>
        <v>92.612160000000003</v>
      </c>
      <c r="L70" s="135">
        <f t="shared" si="14"/>
        <v>95.699231999999995</v>
      </c>
      <c r="N70" s="173"/>
      <c r="O70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</row>
    <row r="71" spans="1:26" s="7" customFormat="1" ht="13.5" thickBot="1" x14ac:dyDescent="0.25">
      <c r="A71" s="117">
        <v>3.3000000000000002E-2</v>
      </c>
      <c r="B71" s="134">
        <f t="shared" si="4"/>
        <v>38.931407999999998</v>
      </c>
      <c r="C71" s="131">
        <f t="shared" si="5"/>
        <v>54.195264000000002</v>
      </c>
      <c r="D71" s="131">
        <f t="shared" si="6"/>
        <v>64.313999999999993</v>
      </c>
      <c r="E71" s="131">
        <f t="shared" si="7"/>
        <v>70.316639999999992</v>
      </c>
      <c r="F71" s="131">
        <f t="shared" si="8"/>
        <v>79.749359999999996</v>
      </c>
      <c r="G71" s="131">
        <f t="shared" si="9"/>
        <v>86.438016000000005</v>
      </c>
      <c r="H71" s="131">
        <f t="shared" si="10"/>
        <v>89.182079999999999</v>
      </c>
      <c r="I71" s="131">
        <f t="shared" si="11"/>
        <v>92.612160000000003</v>
      </c>
      <c r="J71" s="131">
        <f t="shared" si="12"/>
        <v>98.786304000000001</v>
      </c>
      <c r="K71" s="131">
        <f t="shared" si="13"/>
        <v>102.90240000000001</v>
      </c>
      <c r="L71" s="135">
        <f t="shared" si="14"/>
        <v>104.960448</v>
      </c>
      <c r="N71" s="173">
        <v>7</v>
      </c>
      <c r="O71" s="49" t="s">
        <v>122</v>
      </c>
      <c r="P71" s="196"/>
      <c r="Q71" s="196"/>
      <c r="R71" s="197" t="s">
        <v>117</v>
      </c>
      <c r="S71" s="196"/>
      <c r="T71" s="196"/>
      <c r="U71" s="196"/>
      <c r="V71" s="196"/>
      <c r="W71" s="196"/>
      <c r="X71" s="196"/>
      <c r="Y71" s="196"/>
      <c r="Z71" s="196"/>
    </row>
    <row r="72" spans="1:26" s="7" customFormat="1" ht="13.5" thickBot="1" x14ac:dyDescent="0.25">
      <c r="A72" s="117">
        <v>0.02</v>
      </c>
      <c r="B72" s="134">
        <f t="shared" si="4"/>
        <v>39.788927999999999</v>
      </c>
      <c r="C72" s="131">
        <f t="shared" si="5"/>
        <v>56.253312000000001</v>
      </c>
      <c r="D72" s="131">
        <f t="shared" si="6"/>
        <v>66.372047999999992</v>
      </c>
      <c r="E72" s="131">
        <f t="shared" si="7"/>
        <v>72.717696000000018</v>
      </c>
      <c r="F72" s="131">
        <f t="shared" si="8"/>
        <v>82.321919999999992</v>
      </c>
      <c r="G72" s="131">
        <f t="shared" si="9"/>
        <v>89.868096000000008</v>
      </c>
      <c r="H72" s="131">
        <f t="shared" si="10"/>
        <v>94.327199999999991</v>
      </c>
      <c r="I72" s="131">
        <f t="shared" si="11"/>
        <v>97.757280000000009</v>
      </c>
      <c r="J72" s="131">
        <f t="shared" si="12"/>
        <v>103.416912</v>
      </c>
      <c r="K72" s="131">
        <f t="shared" si="13"/>
        <v>109.076544</v>
      </c>
      <c r="L72" s="135">
        <f t="shared" si="14"/>
        <v>114.221664</v>
      </c>
      <c r="N72" s="173"/>
      <c r="O72" s="174" t="s">
        <v>52</v>
      </c>
      <c r="P72" s="175">
        <v>5</v>
      </c>
      <c r="Q72" s="176">
        <v>10</v>
      </c>
      <c r="R72" s="176">
        <v>15</v>
      </c>
      <c r="S72" s="176">
        <v>20</v>
      </c>
      <c r="T72" s="176">
        <v>30</v>
      </c>
      <c r="U72" s="176">
        <v>40</v>
      </c>
      <c r="V72" s="176">
        <v>50</v>
      </c>
      <c r="W72" s="176">
        <v>60</v>
      </c>
      <c r="X72" s="176">
        <v>90</v>
      </c>
      <c r="Y72" s="176">
        <v>120</v>
      </c>
      <c r="Z72" s="177">
        <v>180</v>
      </c>
    </row>
    <row r="73" spans="1:26" s="7" customFormat="1" ht="13.5" thickBot="1" x14ac:dyDescent="0.25">
      <c r="A73" s="118">
        <v>0.01</v>
      </c>
      <c r="B73" s="136">
        <f t="shared" si="4"/>
        <v>40.989455999999997</v>
      </c>
      <c r="C73" s="137">
        <f t="shared" si="5"/>
        <v>58.139856000000002</v>
      </c>
      <c r="D73" s="137">
        <f t="shared" si="6"/>
        <v>69.201864</v>
      </c>
      <c r="E73" s="137">
        <f t="shared" si="7"/>
        <v>76.147775999999993</v>
      </c>
      <c r="F73" s="137">
        <f t="shared" si="8"/>
        <v>87.467040000000011</v>
      </c>
      <c r="G73" s="137">
        <f t="shared" si="9"/>
        <v>96.042240000000007</v>
      </c>
      <c r="H73" s="137">
        <f t="shared" si="10"/>
        <v>101.18736</v>
      </c>
      <c r="I73" s="137">
        <f t="shared" si="11"/>
        <v>102.90240000000001</v>
      </c>
      <c r="J73" s="137">
        <f t="shared" si="12"/>
        <v>111.134592</v>
      </c>
      <c r="K73" s="137">
        <f t="shared" si="13"/>
        <v>115.25068800000001</v>
      </c>
      <c r="L73" s="138">
        <f t="shared" si="14"/>
        <v>120.39580799999999</v>
      </c>
      <c r="N73" s="173"/>
      <c r="O73" s="198">
        <v>1</v>
      </c>
      <c r="P73" s="201">
        <v>304</v>
      </c>
      <c r="Q73" s="88">
        <v>193</v>
      </c>
      <c r="R73" s="88">
        <v>146</v>
      </c>
      <c r="S73" s="88">
        <v>118</v>
      </c>
      <c r="T73" s="88">
        <v>87</v>
      </c>
      <c r="U73" s="88">
        <v>70</v>
      </c>
      <c r="V73" s="88">
        <v>57</v>
      </c>
      <c r="W73" s="88">
        <v>49</v>
      </c>
      <c r="X73" s="88">
        <v>34</v>
      </c>
      <c r="Y73" s="88">
        <v>26</v>
      </c>
      <c r="Z73" s="179">
        <v>18</v>
      </c>
    </row>
    <row r="74" spans="1:26" s="7" customFormat="1" x14ac:dyDescent="0.2">
      <c r="N74" s="173"/>
      <c r="O74" s="178">
        <v>0.5</v>
      </c>
      <c r="P74" s="201">
        <v>378</v>
      </c>
      <c r="Q74" s="88">
        <v>248</v>
      </c>
      <c r="R74" s="88">
        <v>186</v>
      </c>
      <c r="S74" s="88">
        <v>152</v>
      </c>
      <c r="T74" s="88">
        <v>113</v>
      </c>
      <c r="U74" s="88">
        <v>89</v>
      </c>
      <c r="V74" s="88">
        <v>74</v>
      </c>
      <c r="W74" s="88">
        <v>64</v>
      </c>
      <c r="X74" s="88">
        <v>45</v>
      </c>
      <c r="Y74" s="88">
        <v>34</v>
      </c>
      <c r="Z74" s="179">
        <v>23</v>
      </c>
    </row>
    <row r="75" spans="1:26" s="7" customFormat="1" x14ac:dyDescent="0.2">
      <c r="N75" s="173"/>
      <c r="O75" s="178">
        <v>0.2</v>
      </c>
      <c r="P75" s="201">
        <v>462</v>
      </c>
      <c r="Q75" s="88">
        <v>322</v>
      </c>
      <c r="R75" s="88">
        <v>250</v>
      </c>
      <c r="S75" s="88">
        <v>205</v>
      </c>
      <c r="T75" s="88">
        <v>152</v>
      </c>
      <c r="U75" s="88">
        <v>122</v>
      </c>
      <c r="V75" s="88">
        <v>100</v>
      </c>
      <c r="W75" s="88">
        <v>86</v>
      </c>
      <c r="X75" s="88">
        <v>60</v>
      </c>
      <c r="Y75" s="88">
        <v>47</v>
      </c>
      <c r="Z75" s="179">
        <v>32</v>
      </c>
    </row>
    <row r="76" spans="1:26" s="7" customFormat="1" ht="13.5" thickBot="1" x14ac:dyDescent="0.25">
      <c r="B76" s="90" t="s">
        <v>75</v>
      </c>
      <c r="C76" s="90"/>
      <c r="D76" s="90"/>
      <c r="E76" s="90"/>
      <c r="F76" s="90"/>
      <c r="G76" s="90"/>
      <c r="H76" s="90"/>
      <c r="I76" s="90"/>
      <c r="N76" s="173"/>
      <c r="O76" s="178">
        <v>0.1</v>
      </c>
      <c r="P76" s="201">
        <v>524</v>
      </c>
      <c r="Q76" s="88">
        <v>377</v>
      </c>
      <c r="R76" s="88">
        <v>294</v>
      </c>
      <c r="S76" s="88">
        <v>243</v>
      </c>
      <c r="T76" s="88">
        <v>181</v>
      </c>
      <c r="U76" s="88">
        <v>144</v>
      </c>
      <c r="V76" s="88">
        <v>120</v>
      </c>
      <c r="W76" s="88">
        <v>102</v>
      </c>
      <c r="X76" s="88">
        <v>72</v>
      </c>
      <c r="Y76" s="88">
        <v>56</v>
      </c>
      <c r="Z76" s="179">
        <v>38</v>
      </c>
    </row>
    <row r="77" spans="1:26" s="7" customFormat="1" ht="13.5" thickBot="1" x14ac:dyDescent="0.25">
      <c r="A77" s="8"/>
      <c r="B77" s="119">
        <v>5</v>
      </c>
      <c r="C77" s="120">
        <v>10</v>
      </c>
      <c r="D77" s="120">
        <v>15</v>
      </c>
      <c r="E77" s="120">
        <v>20</v>
      </c>
      <c r="F77" s="120">
        <v>30</v>
      </c>
      <c r="G77" s="120">
        <v>40</v>
      </c>
      <c r="H77" s="120">
        <v>50</v>
      </c>
      <c r="I77" s="120">
        <v>60</v>
      </c>
      <c r="J77" s="120">
        <v>90</v>
      </c>
      <c r="K77" s="120">
        <v>120</v>
      </c>
      <c r="L77" s="121">
        <v>180</v>
      </c>
      <c r="N77" s="173"/>
      <c r="O77" s="178">
        <v>0.05</v>
      </c>
      <c r="P77" s="201">
        <v>583</v>
      </c>
      <c r="Q77" s="88">
        <v>427</v>
      </c>
      <c r="R77" s="88">
        <v>337</v>
      </c>
      <c r="S77" s="88">
        <v>278</v>
      </c>
      <c r="T77" s="88">
        <v>208</v>
      </c>
      <c r="U77" s="88">
        <v>166</v>
      </c>
      <c r="V77" s="88">
        <v>138</v>
      </c>
      <c r="W77" s="88">
        <v>118</v>
      </c>
      <c r="X77" s="88">
        <v>83</v>
      </c>
      <c r="Y77" s="88">
        <v>64</v>
      </c>
      <c r="Z77" s="179">
        <v>44</v>
      </c>
    </row>
    <row r="78" spans="1:26" s="7" customFormat="1" ht="13.5" thickBot="1" x14ac:dyDescent="0.25">
      <c r="A78" s="116">
        <v>1</v>
      </c>
      <c r="B78" s="94">
        <f t="shared" ref="B78:B85" si="16">(B43*0.0000001*$E$29*$B$42*60*$G$18)/(($G$19*$G$20*0.4*0.95)+($G$17*0.5*($G$19+($G$20*0.4*0.5))*$B$42*60*$G$18))</f>
        <v>13.651883286382551</v>
      </c>
      <c r="C78" s="140">
        <f t="shared" ref="C78:C85" si="17">(C43*0.0000001*$E$29*$C$42*60*$G$18)/(($G$19*$G$20*0.4*0.95)+($G$17*0.5*($G$19+($G$20*0.4*0.5))*$C$42*60*$G$18))</f>
        <v>18.0818148580714</v>
      </c>
      <c r="D78" s="140">
        <f>(D43*0.0000001*$E$29*$D$42*60*$G$18)/(($G$19*$G$20*0.4*0.95)+($G$17*0.5*($G$19+($G$20*0.4*0.5))*$D$42*60*$G$18))</f>
        <v>20.652241323386317</v>
      </c>
      <c r="E78" s="140">
        <f t="shared" ref="E78:E85" si="18">(E43*0.0000001*$E$29*$E$42*60*$G$18)/(($G$19*$G$20*0.4*0.95)+($G$17*0.5*($G$19+($G$20*0.4*0.5))*$E$42*60*$G$18))</f>
        <v>22.209877366820365</v>
      </c>
      <c r="F78" s="140">
        <f t="shared" ref="F78:F85" si="19">(F43*0.0000001*$E$29*$F$42*60*$G$18)/(($G$19*$G$20*0.4*0.95)+($G$17*0.5*($G$19+($G$20*0.4*0.5))*$F$42*60*$G$18))</f>
        <v>24.164660562645285</v>
      </c>
      <c r="G78" s="140">
        <f t="shared" ref="G78:G85" si="20">(G43*0.0000001*$E$29*$G$42*60*$G$18)/(($G$19*$G$20*0.4*0.95)+($G$17*0.5*($G$19+($G$20*0.4*0.5))*$G$42*60*$G$18))</f>
        <v>25.128502663972071</v>
      </c>
      <c r="H78" s="140">
        <f t="shared" ref="H78:H85" si="21">(H43*0.0000001*$E$29*$H$42*60*$G$18)/(($G$19*$G$20*0.4*0.95)+($G$17*0.5*($G$19+($G$20*0.4*0.5))*$H$42*60*$G$18))</f>
        <v>25.717965724460274</v>
      </c>
      <c r="I78" s="140">
        <f t="shared" ref="I78:I85" si="22">(I43*0.0000001*$E$29*$I$42*60*$G$18)/(($G$19*$G$20*0.4*0.95)+($G$17*0.5*($G$19+($G$20*0.4*0.5))*$I$42*60*$G$18))</f>
        <v>25.661169358321096</v>
      </c>
      <c r="J78" s="140">
        <f t="shared" ref="J78:J85" si="23">(J43*0.0000001*$E$29*$J$42*60*$G$18)/(($G$19*$G$20*0.4*0.95)+($G$17*0.5*($G$19+($G$20*0.4*0.5))*$J$42*60*$G$18))</f>
        <v>25.229171454610292</v>
      </c>
      <c r="K78" s="140">
        <f t="shared" ref="K78:K85" si="24">(K43*0.0000001*$E$29*$K$42*60*$G$18)/(($G$19*$G$20*0.4*0.95)+($G$17*0.5*($G$19+($G$20*0.4*0.5))*$K$42*60*$G$18))</f>
        <v>24.862931615170591</v>
      </c>
      <c r="L78" s="141">
        <f t="shared" ref="L78:L85" si="25">(L43*0.0000001*$E$29*$L$42*60*$G$18)/(($G$19*$G$20*0.4*0.95)+($G$17*0.5*($G$19+($G$20*0.4*0.5))*$L$42*60*$G$18))</f>
        <v>22.926958124165978</v>
      </c>
      <c r="N78" s="173"/>
      <c r="O78" s="180">
        <v>3.3000000000000002E-2</v>
      </c>
      <c r="P78" s="201">
        <v>605</v>
      </c>
      <c r="Q78" s="202">
        <v>450</v>
      </c>
      <c r="R78" s="202">
        <v>357</v>
      </c>
      <c r="S78" s="202">
        <v>298</v>
      </c>
      <c r="T78" s="202">
        <v>223</v>
      </c>
      <c r="U78" s="202">
        <v>180</v>
      </c>
      <c r="V78" s="202">
        <v>150</v>
      </c>
      <c r="W78" s="202">
        <v>128</v>
      </c>
      <c r="X78" s="202">
        <v>91</v>
      </c>
      <c r="Y78" s="202">
        <v>71</v>
      </c>
      <c r="Z78" s="179">
        <v>48</v>
      </c>
    </row>
    <row r="79" spans="1:26" s="7" customFormat="1" x14ac:dyDescent="0.2">
      <c r="A79" s="117">
        <v>0.5</v>
      </c>
      <c r="B79" s="142">
        <f t="shared" si="16"/>
        <v>16.699178662807228</v>
      </c>
      <c r="C79" s="139">
        <f t="shared" si="17"/>
        <v>22.033469760828723</v>
      </c>
      <c r="D79" s="139">
        <f t="shared" ref="D79:D85" si="26">(D44*0.0000001*$E$29*$D$42*60*$G$18)/(($G$19*$G$20*0.4*0.95)+($G$17*0.5*($G$19+($G$20*0.4*0.5))*$D$77*60*$G$18))</f>
        <v>25.065113401032963</v>
      </c>
      <c r="E79" s="139">
        <f t="shared" si="18"/>
        <v>27.06828804081232</v>
      </c>
      <c r="F79" s="139">
        <f t="shared" si="19"/>
        <v>29.534585132122025</v>
      </c>
      <c r="G79" s="139">
        <f t="shared" si="20"/>
        <v>30.760753261069265</v>
      </c>
      <c r="H79" s="139">
        <f t="shared" si="21"/>
        <v>31.491386601379926</v>
      </c>
      <c r="I79" s="139">
        <f t="shared" si="22"/>
        <v>31.770971586492788</v>
      </c>
      <c r="J79" s="139">
        <f t="shared" si="23"/>
        <v>31.956950509173037</v>
      </c>
      <c r="K79" s="139">
        <f t="shared" si="24"/>
        <v>29.006753551032364</v>
      </c>
      <c r="L79" s="143">
        <f t="shared" si="25"/>
        <v>26.972891910783499</v>
      </c>
      <c r="N79" s="173"/>
      <c r="O79" s="203">
        <v>0.02</v>
      </c>
      <c r="P79" s="204">
        <f>P78*1.04</f>
        <v>629.20000000000005</v>
      </c>
      <c r="Q79" s="205">
        <f>Q78*1.05</f>
        <v>472.5</v>
      </c>
      <c r="R79" s="205">
        <f t="shared" ref="R79:X79" si="27">R78*1.06</f>
        <v>378.42</v>
      </c>
      <c r="S79" s="205">
        <f t="shared" si="27"/>
        <v>315.88</v>
      </c>
      <c r="T79" s="205">
        <f t="shared" si="27"/>
        <v>236.38000000000002</v>
      </c>
      <c r="U79" s="205">
        <f t="shared" si="27"/>
        <v>190.8</v>
      </c>
      <c r="V79" s="205">
        <f t="shared" si="27"/>
        <v>159</v>
      </c>
      <c r="W79" s="205">
        <f t="shared" si="27"/>
        <v>135.68</v>
      </c>
      <c r="X79" s="205">
        <f t="shared" si="27"/>
        <v>96.460000000000008</v>
      </c>
      <c r="Y79" s="205">
        <f>Y78*1.07</f>
        <v>75.97</v>
      </c>
      <c r="Z79" s="206">
        <f>Z78*1.07</f>
        <v>51.36</v>
      </c>
    </row>
    <row r="80" spans="1:26" s="7" customFormat="1" ht="13.5" thickBot="1" x14ac:dyDescent="0.25">
      <c r="A80" s="117">
        <v>0.2</v>
      </c>
      <c r="B80" s="142">
        <f t="shared" si="16"/>
        <v>21.026338097330267</v>
      </c>
      <c r="C80" s="139">
        <f t="shared" si="17"/>
        <v>27.901078555832026</v>
      </c>
      <c r="D80" s="139">
        <f t="shared" si="26"/>
        <v>31.77267895905587</v>
      </c>
      <c r="E80" s="139">
        <f t="shared" si="18"/>
        <v>34.008874717943691</v>
      </c>
      <c r="F80" s="139">
        <f t="shared" si="19"/>
        <v>36.918231415152526</v>
      </c>
      <c r="G80" s="139">
        <f t="shared" si="20"/>
        <v>38.126004041888677</v>
      </c>
      <c r="H80" s="139">
        <f t="shared" si="21"/>
        <v>38.83937680836857</v>
      </c>
      <c r="I80" s="139">
        <f t="shared" si="22"/>
        <v>39.102734260298817</v>
      </c>
      <c r="J80" s="139">
        <f t="shared" si="23"/>
        <v>38.684729563735779</v>
      </c>
      <c r="K80" s="139">
        <f t="shared" si="24"/>
        <v>37.294397422755893</v>
      </c>
      <c r="L80" s="143">
        <f t="shared" si="25"/>
        <v>33.716114888479375</v>
      </c>
      <c r="N80" s="173"/>
      <c r="O80" s="22">
        <v>0.01</v>
      </c>
      <c r="P80" s="207">
        <f>P78*1.09</f>
        <v>659.45</v>
      </c>
      <c r="Q80" s="208">
        <f>Q78*1.1</f>
        <v>495.00000000000006</v>
      </c>
      <c r="R80" s="208">
        <f>R78*1.11</f>
        <v>396.27000000000004</v>
      </c>
      <c r="S80" s="208">
        <f>S78*1.11</f>
        <v>330.78000000000003</v>
      </c>
      <c r="T80" s="208">
        <f>T78*1.11</f>
        <v>247.53000000000003</v>
      </c>
      <c r="U80" s="208">
        <f>U78*1.12</f>
        <v>201.60000000000002</v>
      </c>
      <c r="V80" s="208">
        <f>V78*1.12</f>
        <v>168.00000000000003</v>
      </c>
      <c r="W80" s="208">
        <f>W78*1.12</f>
        <v>143.36000000000001</v>
      </c>
      <c r="X80" s="208">
        <f>X78*1.13</f>
        <v>102.82999999999998</v>
      </c>
      <c r="Y80" s="208">
        <f>Y78*1.13</f>
        <v>80.22999999999999</v>
      </c>
      <c r="Z80" s="209">
        <f>Z78*1.14</f>
        <v>54.72</v>
      </c>
    </row>
    <row r="81" spans="1:26" s="7" customFormat="1" x14ac:dyDescent="0.2">
      <c r="A81" s="117">
        <v>0.1</v>
      </c>
      <c r="B81" s="142">
        <f t="shared" si="16"/>
        <v>23.829849843640968</v>
      </c>
      <c r="C81" s="139">
        <f t="shared" si="17"/>
        <v>31.972480576854725</v>
      </c>
      <c r="D81" s="139">
        <f t="shared" si="26"/>
        <v>36.89161056912598</v>
      </c>
      <c r="E81" s="139">
        <f t="shared" si="18"/>
        <v>39.792696948886494</v>
      </c>
      <c r="F81" s="139">
        <f t="shared" si="19"/>
        <v>42.959396555813839</v>
      </c>
      <c r="G81" s="139">
        <f t="shared" si="20"/>
        <v>44.624754730846966</v>
      </c>
      <c r="H81" s="139">
        <f t="shared" si="21"/>
        <v>45.137654128644556</v>
      </c>
      <c r="I81" s="139">
        <f t="shared" si="22"/>
        <v>45.212536488470512</v>
      </c>
      <c r="J81" s="139">
        <f t="shared" si="23"/>
        <v>43.730563854657831</v>
      </c>
      <c r="K81" s="139">
        <f t="shared" si="24"/>
        <v>42.474174842583096</v>
      </c>
      <c r="L81" s="143">
        <f t="shared" si="25"/>
        <v>37.762048675096906</v>
      </c>
      <c r="N81" s="173"/>
      <c r="O81"/>
      <c r="P81" s="196"/>
      <c r="Q81" s="196"/>
      <c r="R81" s="196"/>
      <c r="S81" s="196"/>
      <c r="T81" s="196"/>
      <c r="U81" s="196"/>
      <c r="V81" s="196"/>
      <c r="W81" s="196"/>
      <c r="X81" s="196"/>
      <c r="Y81" s="196"/>
      <c r="Z81" s="196"/>
    </row>
    <row r="82" spans="1:26" s="7" customFormat="1" ht="13.5" thickBot="1" x14ac:dyDescent="0.25">
      <c r="A82" s="117">
        <v>0.05</v>
      </c>
      <c r="B82" s="142">
        <f t="shared" si="16"/>
        <v>26.45052386736619</v>
      </c>
      <c r="C82" s="139">
        <f t="shared" si="17"/>
        <v>35.684641243081302</v>
      </c>
      <c r="D82" s="139">
        <f t="shared" si="26"/>
        <v>41.12796776366676</v>
      </c>
      <c r="E82" s="139">
        <f t="shared" si="18"/>
        <v>44.41975473364073</v>
      </c>
      <c r="F82" s="139">
        <f t="shared" si="19"/>
        <v>48.664941410882875</v>
      </c>
      <c r="G82" s="139">
        <f t="shared" si="20"/>
        <v>50.257005327944142</v>
      </c>
      <c r="H82" s="139">
        <f t="shared" si="21"/>
        <v>50.38621856220788</v>
      </c>
      <c r="I82" s="139">
        <f t="shared" si="22"/>
        <v>50.100378271007855</v>
      </c>
      <c r="J82" s="139">
        <f t="shared" si="23"/>
        <v>47.935425763759554</v>
      </c>
      <c r="K82" s="139">
        <f t="shared" si="24"/>
        <v>46.617996778444869</v>
      </c>
      <c r="L82" s="143">
        <f t="shared" si="25"/>
        <v>41.807982461714431</v>
      </c>
      <c r="N82" s="173">
        <v>8</v>
      </c>
      <c r="O82" s="49" t="s">
        <v>123</v>
      </c>
      <c r="P82" s="196"/>
      <c r="Q82" s="196"/>
      <c r="R82" s="197" t="s">
        <v>117</v>
      </c>
      <c r="S82" s="196"/>
      <c r="T82" s="196"/>
      <c r="U82" s="196"/>
      <c r="V82" s="196"/>
      <c r="W82" s="196"/>
      <c r="X82" s="196"/>
      <c r="Y82" s="196"/>
      <c r="Z82" s="196"/>
    </row>
    <row r="83" spans="1:26" s="7" customFormat="1" ht="13.5" thickBot="1" x14ac:dyDescent="0.25">
      <c r="A83" s="117">
        <v>3.3000000000000002E-2</v>
      </c>
      <c r="B83" s="142">
        <f t="shared" si="16"/>
        <v>27.669442017936063</v>
      </c>
      <c r="C83" s="139">
        <f t="shared" si="17"/>
        <v>37.840089371858021</v>
      </c>
      <c r="D83" s="139">
        <f t="shared" si="26"/>
        <v>44.12872077646648</v>
      </c>
      <c r="E83" s="139">
        <f t="shared" si="18"/>
        <v>47.427342293730995</v>
      </c>
      <c r="F83" s="139">
        <f t="shared" si="19"/>
        <v>52.02114426680582</v>
      </c>
      <c r="G83" s="139">
        <f t="shared" si="20"/>
        <v>54.589505787249685</v>
      </c>
      <c r="H83" s="139">
        <f t="shared" si="21"/>
        <v>54.585070109058535</v>
      </c>
      <c r="I83" s="139">
        <f t="shared" si="22"/>
        <v>54.988220053545213</v>
      </c>
      <c r="J83" s="139">
        <f t="shared" si="23"/>
        <v>53.822232436501949</v>
      </c>
      <c r="K83" s="139">
        <f t="shared" si="24"/>
        <v>51.79777419827208</v>
      </c>
      <c r="L83" s="143">
        <f t="shared" si="25"/>
        <v>45.853916248331956</v>
      </c>
      <c r="N83" s="173"/>
      <c r="O83" s="174" t="s">
        <v>52</v>
      </c>
      <c r="P83" s="175">
        <v>5</v>
      </c>
      <c r="Q83" s="176">
        <v>10</v>
      </c>
      <c r="R83" s="176">
        <v>15</v>
      </c>
      <c r="S83" s="176">
        <v>20</v>
      </c>
      <c r="T83" s="176">
        <v>30</v>
      </c>
      <c r="U83" s="176">
        <v>40</v>
      </c>
      <c r="V83" s="176">
        <v>50</v>
      </c>
      <c r="W83" s="176">
        <v>60</v>
      </c>
      <c r="X83" s="176">
        <v>90</v>
      </c>
      <c r="Y83" s="176">
        <v>120</v>
      </c>
      <c r="Z83" s="177">
        <v>180</v>
      </c>
    </row>
    <row r="84" spans="1:26" s="7" customFormat="1" x14ac:dyDescent="0.2">
      <c r="A84" s="117">
        <v>0.02</v>
      </c>
      <c r="B84" s="142">
        <f t="shared" si="16"/>
        <v>28.278901093220995</v>
      </c>
      <c r="C84" s="139">
        <f t="shared" si="17"/>
        <v>39.277054791042502</v>
      </c>
      <c r="D84" s="139">
        <f t="shared" si="26"/>
        <v>45.540839841313414</v>
      </c>
      <c r="E84" s="139">
        <f t="shared" si="18"/>
        <v>49.046812518394994</v>
      </c>
      <c r="F84" s="139">
        <f t="shared" si="19"/>
        <v>53.699245694767313</v>
      </c>
      <c r="G84" s="139">
        <f t="shared" si="20"/>
        <v>56.755756016902438</v>
      </c>
      <c r="H84" s="139">
        <f t="shared" si="21"/>
        <v>57.734208769196528</v>
      </c>
      <c r="I84" s="139">
        <f t="shared" si="22"/>
        <v>58.043121167631057</v>
      </c>
      <c r="J84" s="139">
        <f t="shared" si="23"/>
        <v>56.345149581962986</v>
      </c>
      <c r="K84" s="139">
        <f t="shared" si="24"/>
        <v>54.905640650168408</v>
      </c>
      <c r="L84" s="143">
        <f t="shared" si="25"/>
        <v>49.899850034949488</v>
      </c>
      <c r="N84" s="173"/>
      <c r="O84" s="198">
        <v>1</v>
      </c>
      <c r="P84" s="201">
        <v>298</v>
      </c>
      <c r="Q84" s="88">
        <v>196</v>
      </c>
      <c r="R84" s="88">
        <v>152</v>
      </c>
      <c r="S84" s="88">
        <v>125</v>
      </c>
      <c r="T84" s="88">
        <v>94</v>
      </c>
      <c r="U84" s="88">
        <v>76</v>
      </c>
      <c r="V84" s="88">
        <v>64</v>
      </c>
      <c r="W84" s="88">
        <v>56</v>
      </c>
      <c r="X84" s="88">
        <v>40</v>
      </c>
      <c r="Y84" s="88">
        <v>31</v>
      </c>
      <c r="Z84" s="179">
        <v>22</v>
      </c>
    </row>
    <row r="85" spans="1:26" s="7" customFormat="1" ht="13.5" thickBot="1" x14ac:dyDescent="0.25">
      <c r="A85" s="118">
        <v>0.01</v>
      </c>
      <c r="B85" s="144">
        <f t="shared" si="16"/>
        <v>29.132143798619914</v>
      </c>
      <c r="C85" s="145">
        <f t="shared" si="17"/>
        <v>40.594273091961611</v>
      </c>
      <c r="D85" s="145">
        <f t="shared" si="26"/>
        <v>47.48250355547794</v>
      </c>
      <c r="E85" s="145">
        <f t="shared" si="18"/>
        <v>51.360341410772101</v>
      </c>
      <c r="F85" s="145">
        <f t="shared" si="19"/>
        <v>57.055448550690265</v>
      </c>
      <c r="G85" s="145">
        <f t="shared" si="20"/>
        <v>60.655006430277417</v>
      </c>
      <c r="H85" s="145">
        <f t="shared" si="21"/>
        <v>61.933060316047175</v>
      </c>
      <c r="I85" s="145">
        <f t="shared" si="22"/>
        <v>61.098022281716908</v>
      </c>
      <c r="J85" s="145">
        <f t="shared" si="23"/>
        <v>60.550011491064694</v>
      </c>
      <c r="K85" s="145">
        <f t="shared" si="24"/>
        <v>58.013507102064729</v>
      </c>
      <c r="L85" s="146">
        <f t="shared" si="25"/>
        <v>52.597139226027842</v>
      </c>
      <c r="N85" s="173"/>
      <c r="O85" s="178">
        <v>0.5</v>
      </c>
      <c r="P85" s="201">
        <v>350</v>
      </c>
      <c r="Q85" s="88">
        <v>240</v>
      </c>
      <c r="R85" s="88">
        <v>188</v>
      </c>
      <c r="S85" s="88">
        <v>158</v>
      </c>
      <c r="T85" s="88">
        <v>120</v>
      </c>
      <c r="U85" s="88">
        <v>96</v>
      </c>
      <c r="V85" s="88">
        <v>81</v>
      </c>
      <c r="W85" s="88">
        <v>70</v>
      </c>
      <c r="X85" s="88">
        <v>50</v>
      </c>
      <c r="Y85" s="88">
        <v>39</v>
      </c>
      <c r="Z85" s="179">
        <v>27</v>
      </c>
    </row>
    <row r="86" spans="1:26" s="7" customFormat="1" x14ac:dyDescent="0.2">
      <c r="N86" s="173"/>
      <c r="O86" s="178">
        <v>0.2</v>
      </c>
      <c r="P86" s="201">
        <v>422</v>
      </c>
      <c r="Q86" s="88">
        <v>300</v>
      </c>
      <c r="R86" s="88">
        <v>240</v>
      </c>
      <c r="S86" s="88">
        <v>202</v>
      </c>
      <c r="T86" s="88">
        <v>155</v>
      </c>
      <c r="U86" s="88">
        <v>127</v>
      </c>
      <c r="V86" s="88">
        <v>106</v>
      </c>
      <c r="W86" s="88">
        <v>91</v>
      </c>
      <c r="X86" s="88">
        <v>66</v>
      </c>
      <c r="Y86" s="88">
        <v>51</v>
      </c>
      <c r="Z86" s="179">
        <v>36</v>
      </c>
    </row>
    <row r="87" spans="1:26" s="7" customFormat="1" ht="13.5" thickBot="1" x14ac:dyDescent="0.25">
      <c r="B87" s="90" t="s">
        <v>76</v>
      </c>
      <c r="C87" s="90"/>
      <c r="D87" s="90"/>
      <c r="N87" s="173"/>
      <c r="O87" s="178">
        <v>0.1</v>
      </c>
      <c r="P87" s="201">
        <v>470</v>
      </c>
      <c r="Q87" s="88">
        <v>341</v>
      </c>
      <c r="R87" s="88">
        <v>272</v>
      </c>
      <c r="S87" s="88">
        <v>232</v>
      </c>
      <c r="T87" s="88">
        <v>181</v>
      </c>
      <c r="U87" s="88">
        <v>148</v>
      </c>
      <c r="V87" s="88">
        <v>125</v>
      </c>
      <c r="W87" s="88">
        <v>108</v>
      </c>
      <c r="X87" s="88">
        <v>77</v>
      </c>
      <c r="Y87" s="88">
        <v>60</v>
      </c>
      <c r="Z87" s="179">
        <v>42</v>
      </c>
    </row>
    <row r="88" spans="1:26" s="7" customFormat="1" ht="13.5" thickBot="1" x14ac:dyDescent="0.25">
      <c r="A88" s="8"/>
      <c r="B88" s="119">
        <v>5</v>
      </c>
      <c r="C88" s="120">
        <v>10</v>
      </c>
      <c r="D88" s="120">
        <v>15</v>
      </c>
      <c r="E88" s="120">
        <v>20</v>
      </c>
      <c r="F88" s="120">
        <v>30</v>
      </c>
      <c r="G88" s="120">
        <v>40</v>
      </c>
      <c r="H88" s="120">
        <v>50</v>
      </c>
      <c r="I88" s="120">
        <v>60</v>
      </c>
      <c r="J88" s="120">
        <v>90</v>
      </c>
      <c r="K88" s="120">
        <v>120</v>
      </c>
      <c r="L88" s="121">
        <v>180</v>
      </c>
      <c r="N88" s="173"/>
      <c r="O88" s="178">
        <v>0.05</v>
      </c>
      <c r="P88" s="201">
        <v>522</v>
      </c>
      <c r="Q88" s="88">
        <v>377</v>
      </c>
      <c r="R88" s="88">
        <v>303</v>
      </c>
      <c r="S88" s="88">
        <v>260</v>
      </c>
      <c r="T88" s="88">
        <v>202</v>
      </c>
      <c r="U88" s="88">
        <v>168</v>
      </c>
      <c r="V88" s="88">
        <v>143</v>
      </c>
      <c r="W88" s="88">
        <v>124</v>
      </c>
      <c r="X88" s="88">
        <v>90</v>
      </c>
      <c r="Y88" s="88">
        <v>71</v>
      </c>
      <c r="Z88" s="179">
        <v>50</v>
      </c>
    </row>
    <row r="89" spans="1:26" s="7" customFormat="1" x14ac:dyDescent="0.2">
      <c r="A89" s="116">
        <v>1</v>
      </c>
      <c r="B89" s="94">
        <f t="shared" ref="B89:B94" si="28">$G$19*$G$20*0.4*B78</f>
        <v>21.843013258212082</v>
      </c>
      <c r="C89" s="140">
        <f t="shared" ref="C89:L89" si="29">$G$19*$G$20*0.4*C78</f>
        <v>28.930903772914242</v>
      </c>
      <c r="D89" s="140">
        <f t="shared" si="29"/>
        <v>33.043586117418108</v>
      </c>
      <c r="E89" s="140">
        <f t="shared" si="29"/>
        <v>35.535803786912588</v>
      </c>
      <c r="F89" s="140">
        <f t="shared" si="29"/>
        <v>38.663456900232461</v>
      </c>
      <c r="G89" s="140">
        <f t="shared" si="29"/>
        <v>40.205604262355315</v>
      </c>
      <c r="H89" s="140">
        <f t="shared" si="29"/>
        <v>41.148745159136439</v>
      </c>
      <c r="I89" s="140">
        <f t="shared" si="29"/>
        <v>41.057870973313754</v>
      </c>
      <c r="J89" s="140">
        <f t="shared" si="29"/>
        <v>40.366674327376472</v>
      </c>
      <c r="K89" s="140">
        <f t="shared" si="29"/>
        <v>39.780690584272946</v>
      </c>
      <c r="L89" s="141">
        <f t="shared" si="29"/>
        <v>36.683132998665563</v>
      </c>
      <c r="N89" s="173"/>
      <c r="O89" s="178">
        <v>3.3000000000000002E-2</v>
      </c>
      <c r="P89" s="201">
        <v>560</v>
      </c>
      <c r="Q89" s="88">
        <v>401</v>
      </c>
      <c r="R89" s="88">
        <v>325</v>
      </c>
      <c r="S89" s="88">
        <v>278</v>
      </c>
      <c r="T89" s="88">
        <v>219</v>
      </c>
      <c r="U89" s="88">
        <v>182</v>
      </c>
      <c r="V89" s="88">
        <v>155</v>
      </c>
      <c r="W89" s="88">
        <v>136</v>
      </c>
      <c r="X89" s="88">
        <v>98</v>
      </c>
      <c r="Y89" s="88">
        <v>78</v>
      </c>
      <c r="Z89" s="179">
        <v>55</v>
      </c>
    </row>
    <row r="90" spans="1:26" s="7" customFormat="1" x14ac:dyDescent="0.2">
      <c r="A90" s="117">
        <v>0.5</v>
      </c>
      <c r="B90" s="142">
        <f t="shared" si="28"/>
        <v>26.718685860491565</v>
      </c>
      <c r="C90" s="139">
        <f t="shared" ref="C90:L90" si="30">$G$19*$G$20*0.4*C79</f>
        <v>35.253551617325961</v>
      </c>
      <c r="D90" s="139">
        <f t="shared" si="30"/>
        <v>40.104181441652742</v>
      </c>
      <c r="E90" s="139">
        <f t="shared" si="30"/>
        <v>43.309260865299713</v>
      </c>
      <c r="F90" s="139">
        <f t="shared" si="30"/>
        <v>47.255336211395246</v>
      </c>
      <c r="G90" s="139">
        <f t="shared" si="30"/>
        <v>49.217205217710827</v>
      </c>
      <c r="H90" s="139">
        <f t="shared" si="30"/>
        <v>50.386218562207887</v>
      </c>
      <c r="I90" s="139">
        <f t="shared" si="30"/>
        <v>50.833554538388462</v>
      </c>
      <c r="J90" s="139">
        <f t="shared" si="30"/>
        <v>51.131120814676862</v>
      </c>
      <c r="K90" s="139">
        <f t="shared" si="30"/>
        <v>46.410805681651787</v>
      </c>
      <c r="L90" s="143">
        <f t="shared" si="30"/>
        <v>43.156627057253601</v>
      </c>
      <c r="N90" s="173"/>
      <c r="O90" s="178">
        <v>0.02</v>
      </c>
      <c r="P90" s="201">
        <v>575</v>
      </c>
      <c r="Q90" s="88">
        <v>420</v>
      </c>
      <c r="R90" s="88">
        <v>343</v>
      </c>
      <c r="S90" s="88">
        <v>294</v>
      </c>
      <c r="T90" s="88">
        <v>236</v>
      </c>
      <c r="U90" s="88">
        <v>197</v>
      </c>
      <c r="V90" s="88">
        <v>168</v>
      </c>
      <c r="W90" s="88">
        <v>148</v>
      </c>
      <c r="X90" s="88">
        <v>107</v>
      </c>
      <c r="Y90" s="88">
        <v>84</v>
      </c>
      <c r="Z90" s="179">
        <v>60</v>
      </c>
    </row>
    <row r="91" spans="1:26" s="7" customFormat="1" ht="13.5" thickBot="1" x14ac:dyDescent="0.25">
      <c r="A91" s="117">
        <v>0.2</v>
      </c>
      <c r="B91" s="142">
        <f t="shared" si="28"/>
        <v>33.642140955728429</v>
      </c>
      <c r="C91" s="139">
        <f t="shared" ref="C91:L91" si="31">$G$19*$G$20*0.4*C80</f>
        <v>44.641725689331246</v>
      </c>
      <c r="D91" s="139">
        <f t="shared" si="31"/>
        <v>50.836286334489394</v>
      </c>
      <c r="E91" s="139">
        <f t="shared" si="31"/>
        <v>54.414199548709909</v>
      </c>
      <c r="F91" s="139">
        <f t="shared" si="31"/>
        <v>59.069170264244043</v>
      </c>
      <c r="G91" s="139">
        <f t="shared" si="31"/>
        <v>61.001606467021887</v>
      </c>
      <c r="H91" s="139">
        <f t="shared" si="31"/>
        <v>62.143002893389713</v>
      </c>
      <c r="I91" s="139">
        <f t="shared" si="31"/>
        <v>62.564374816478107</v>
      </c>
      <c r="J91" s="139">
        <f t="shared" si="31"/>
        <v>61.895567301977252</v>
      </c>
      <c r="K91" s="139">
        <f t="shared" si="31"/>
        <v>59.671035876409434</v>
      </c>
      <c r="L91" s="143">
        <f t="shared" si="31"/>
        <v>53.945783821567005</v>
      </c>
      <c r="N91" s="173"/>
      <c r="O91" s="180">
        <v>0.01</v>
      </c>
      <c r="P91" s="211">
        <v>600</v>
      </c>
      <c r="Q91" s="212">
        <v>440</v>
      </c>
      <c r="R91" s="212">
        <v>360</v>
      </c>
      <c r="S91" s="212">
        <v>310</v>
      </c>
      <c r="T91" s="212">
        <v>248</v>
      </c>
      <c r="U91" s="212">
        <v>205</v>
      </c>
      <c r="V91" s="212">
        <v>176</v>
      </c>
      <c r="W91" s="212">
        <v>155</v>
      </c>
      <c r="X91" s="212">
        <v>113</v>
      </c>
      <c r="Y91" s="212">
        <v>90</v>
      </c>
      <c r="Z91" s="213">
        <v>65</v>
      </c>
    </row>
    <row r="92" spans="1:26" s="7" customFormat="1" x14ac:dyDescent="0.2">
      <c r="A92" s="117">
        <v>0.1</v>
      </c>
      <c r="B92" s="142">
        <f t="shared" si="28"/>
        <v>38.12775974982555</v>
      </c>
      <c r="C92" s="139">
        <f t="shared" ref="C92:L92" si="32">$G$19*$G$20*0.4*C81</f>
        <v>51.15596892296756</v>
      </c>
      <c r="D92" s="139">
        <f t="shared" si="32"/>
        <v>59.02657691060157</v>
      </c>
      <c r="E92" s="139">
        <f t="shared" si="32"/>
        <v>63.668315118218395</v>
      </c>
      <c r="F92" s="139">
        <f t="shared" si="32"/>
        <v>68.735034489302151</v>
      </c>
      <c r="G92" s="139">
        <f t="shared" si="32"/>
        <v>71.399607569355155</v>
      </c>
      <c r="H92" s="139">
        <f t="shared" si="32"/>
        <v>72.220246605831292</v>
      </c>
      <c r="I92" s="139">
        <f t="shared" si="32"/>
        <v>72.340058381552822</v>
      </c>
      <c r="J92" s="139">
        <f t="shared" si="32"/>
        <v>69.968902167452526</v>
      </c>
      <c r="K92" s="139">
        <f t="shared" si="32"/>
        <v>67.958679748132951</v>
      </c>
      <c r="L92" s="143">
        <f t="shared" si="32"/>
        <v>60.41927788015505</v>
      </c>
      <c r="N92" s="173"/>
      <c r="O92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</row>
    <row r="93" spans="1:26" s="7" customFormat="1" ht="13.5" thickBot="1" x14ac:dyDescent="0.25">
      <c r="A93" s="117">
        <v>0.05</v>
      </c>
      <c r="B93" s="142">
        <f t="shared" si="28"/>
        <v>42.32083818778591</v>
      </c>
      <c r="C93" s="139">
        <f t="shared" ref="C93:L93" si="33">$G$19*$G$20*0.4*C82</f>
        <v>57.095425988930089</v>
      </c>
      <c r="D93" s="139">
        <f t="shared" si="33"/>
        <v>65.804748421866819</v>
      </c>
      <c r="E93" s="139">
        <f t="shared" si="33"/>
        <v>71.071607573825176</v>
      </c>
      <c r="F93" s="139">
        <f t="shared" si="33"/>
        <v>77.863906257412609</v>
      </c>
      <c r="G93" s="139">
        <f t="shared" si="33"/>
        <v>80.411208524710631</v>
      </c>
      <c r="H93" s="139">
        <f t="shared" si="33"/>
        <v>80.617949699532616</v>
      </c>
      <c r="I93" s="139">
        <f t="shared" si="33"/>
        <v>80.160605233612571</v>
      </c>
      <c r="J93" s="139">
        <f t="shared" si="33"/>
        <v>76.696681222015286</v>
      </c>
      <c r="K93" s="139">
        <f t="shared" si="33"/>
        <v>74.588794845511799</v>
      </c>
      <c r="L93" s="143">
        <f t="shared" si="33"/>
        <v>66.892771938743095</v>
      </c>
      <c r="N93" s="173">
        <v>9</v>
      </c>
      <c r="O93" s="49" t="s">
        <v>124</v>
      </c>
      <c r="P93" s="196"/>
      <c r="Q93" s="196"/>
      <c r="R93" s="197" t="s">
        <v>117</v>
      </c>
      <c r="S93" s="196"/>
      <c r="T93" s="196"/>
      <c r="U93" s="196"/>
      <c r="V93" s="196"/>
      <c r="W93" s="196"/>
      <c r="X93" s="196"/>
      <c r="Y93" s="196"/>
      <c r="Z93" s="196"/>
    </row>
    <row r="94" spans="1:26" s="7" customFormat="1" ht="13.5" thickBot="1" x14ac:dyDescent="0.25">
      <c r="A94" s="117">
        <v>3.3000000000000002E-2</v>
      </c>
      <c r="B94" s="142">
        <f t="shared" si="28"/>
        <v>44.271107228697701</v>
      </c>
      <c r="C94" s="139">
        <f t="shared" ref="C94:L94" si="34">$G$19*$G$20*0.4*C83</f>
        <v>60.544142994972837</v>
      </c>
      <c r="D94" s="139">
        <f t="shared" si="34"/>
        <v>70.605953242346374</v>
      </c>
      <c r="E94" s="139">
        <f t="shared" si="34"/>
        <v>75.883747669969594</v>
      </c>
      <c r="F94" s="139">
        <f t="shared" si="34"/>
        <v>83.233830826889317</v>
      </c>
      <c r="G94" s="139">
        <f t="shared" si="34"/>
        <v>87.343209259599504</v>
      </c>
      <c r="H94" s="139">
        <f t="shared" si="34"/>
        <v>87.336112174493664</v>
      </c>
      <c r="I94" s="139">
        <f t="shared" si="34"/>
        <v>87.981152085672349</v>
      </c>
      <c r="J94" s="139">
        <f t="shared" si="34"/>
        <v>86.115571898403118</v>
      </c>
      <c r="K94" s="139">
        <f t="shared" si="34"/>
        <v>82.876438717235331</v>
      </c>
      <c r="L94" s="143">
        <f t="shared" si="34"/>
        <v>73.366265997331126</v>
      </c>
      <c r="N94" s="173"/>
      <c r="O94" s="174" t="s">
        <v>52</v>
      </c>
      <c r="P94" s="175">
        <v>5</v>
      </c>
      <c r="Q94" s="176">
        <v>10</v>
      </c>
      <c r="R94" s="176">
        <v>15</v>
      </c>
      <c r="S94" s="176">
        <v>20</v>
      </c>
      <c r="T94" s="176">
        <v>30</v>
      </c>
      <c r="U94" s="176">
        <v>40</v>
      </c>
      <c r="V94" s="176">
        <v>50</v>
      </c>
      <c r="W94" s="176">
        <v>60</v>
      </c>
      <c r="X94" s="176">
        <v>90</v>
      </c>
      <c r="Y94" s="176">
        <v>120</v>
      </c>
      <c r="Z94" s="177">
        <v>180</v>
      </c>
    </row>
    <row r="95" spans="1:26" s="7" customFormat="1" x14ac:dyDescent="0.2">
      <c r="A95" s="117">
        <v>0.02</v>
      </c>
      <c r="B95" s="142">
        <f t="shared" ref="B95:L95" si="35">$G$19*$G$20*0.4*B84</f>
        <v>45.246241749153597</v>
      </c>
      <c r="C95" s="139">
        <f t="shared" si="35"/>
        <v>62.843287665668008</v>
      </c>
      <c r="D95" s="139">
        <f t="shared" si="35"/>
        <v>72.865343746101459</v>
      </c>
      <c r="E95" s="139">
        <f t="shared" si="35"/>
        <v>78.474900029431993</v>
      </c>
      <c r="F95" s="139">
        <f t="shared" si="35"/>
        <v>85.918793111627707</v>
      </c>
      <c r="G95" s="139">
        <f t="shared" si="35"/>
        <v>90.809209627043913</v>
      </c>
      <c r="H95" s="139">
        <f t="shared" si="35"/>
        <v>92.37473403071445</v>
      </c>
      <c r="I95" s="139">
        <f t="shared" si="35"/>
        <v>92.868993868209699</v>
      </c>
      <c r="J95" s="139">
        <f t="shared" si="35"/>
        <v>90.152239331140777</v>
      </c>
      <c r="K95" s="139">
        <f t="shared" si="35"/>
        <v>87.849025040269453</v>
      </c>
      <c r="L95" s="143">
        <f t="shared" si="35"/>
        <v>79.839760055919186</v>
      </c>
      <c r="N95" s="173"/>
      <c r="O95" s="198">
        <v>1</v>
      </c>
      <c r="P95" s="202">
        <v>289</v>
      </c>
      <c r="Q95" s="88">
        <v>182</v>
      </c>
      <c r="R95" s="88">
        <v>134</v>
      </c>
      <c r="S95" s="88">
        <v>108</v>
      </c>
      <c r="T95" s="88">
        <v>77</v>
      </c>
      <c r="U95" s="88">
        <v>60</v>
      </c>
      <c r="V95" s="88">
        <v>50</v>
      </c>
      <c r="W95" s="88">
        <v>43</v>
      </c>
      <c r="X95" s="88">
        <v>31</v>
      </c>
      <c r="Y95" s="88">
        <v>24</v>
      </c>
      <c r="Z95" s="179">
        <v>17</v>
      </c>
    </row>
    <row r="96" spans="1:26" s="7" customFormat="1" ht="13.5" thickBot="1" x14ac:dyDescent="0.25">
      <c r="A96" s="118">
        <v>0.01</v>
      </c>
      <c r="B96" s="144">
        <f t="shared" ref="B96:L96" si="36">$G$19*$G$20*0.4*B85</f>
        <v>46.611430077791866</v>
      </c>
      <c r="C96" s="145">
        <f t="shared" si="36"/>
        <v>64.950836947138583</v>
      </c>
      <c r="D96" s="145">
        <f t="shared" si="36"/>
        <v>75.97200568876471</v>
      </c>
      <c r="E96" s="145">
        <f t="shared" si="36"/>
        <v>82.176546257235373</v>
      </c>
      <c r="F96" s="145">
        <f t="shared" si="36"/>
        <v>91.28871768110443</v>
      </c>
      <c r="G96" s="145">
        <f t="shared" si="36"/>
        <v>97.048010288443876</v>
      </c>
      <c r="H96" s="145">
        <f t="shared" si="36"/>
        <v>99.092896505675483</v>
      </c>
      <c r="I96" s="145">
        <f t="shared" si="36"/>
        <v>97.756835650747064</v>
      </c>
      <c r="J96" s="145">
        <f t="shared" si="36"/>
        <v>96.880018385703522</v>
      </c>
      <c r="K96" s="145">
        <f t="shared" si="36"/>
        <v>92.821611363303575</v>
      </c>
      <c r="L96" s="146">
        <f t="shared" si="36"/>
        <v>84.155422761644559</v>
      </c>
      <c r="N96" s="173"/>
      <c r="O96" s="178">
        <v>0.5</v>
      </c>
      <c r="P96" s="202">
        <v>350</v>
      </c>
      <c r="Q96" s="88">
        <v>225</v>
      </c>
      <c r="R96" s="88">
        <v>170</v>
      </c>
      <c r="S96" s="88">
        <v>138</v>
      </c>
      <c r="T96" s="88">
        <v>102</v>
      </c>
      <c r="U96" s="88">
        <v>81</v>
      </c>
      <c r="V96" s="88">
        <v>67</v>
      </c>
      <c r="W96" s="88">
        <v>57</v>
      </c>
      <c r="X96" s="88">
        <v>40</v>
      </c>
      <c r="Y96" s="88">
        <v>31</v>
      </c>
      <c r="Z96" s="179">
        <v>22</v>
      </c>
    </row>
    <row r="97" spans="1:26" s="7" customFormat="1" x14ac:dyDescent="0.2">
      <c r="N97" s="173"/>
      <c r="O97" s="178">
        <v>0.2</v>
      </c>
      <c r="P97" s="202">
        <v>442</v>
      </c>
      <c r="Q97" s="88">
        <v>290</v>
      </c>
      <c r="R97" s="88">
        <v>222</v>
      </c>
      <c r="S97" s="88">
        <v>182</v>
      </c>
      <c r="T97" s="88">
        <v>136</v>
      </c>
      <c r="U97" s="88">
        <v>109</v>
      </c>
      <c r="V97" s="88">
        <v>91</v>
      </c>
      <c r="W97" s="88">
        <v>79</v>
      </c>
      <c r="X97" s="88">
        <v>55</v>
      </c>
      <c r="Y97" s="88">
        <v>43</v>
      </c>
      <c r="Z97" s="179">
        <v>29</v>
      </c>
    </row>
    <row r="98" spans="1:26" s="7" customFormat="1" x14ac:dyDescent="0.2">
      <c r="N98" s="173"/>
      <c r="O98" s="178">
        <v>0.1</v>
      </c>
      <c r="P98" s="202">
        <v>500</v>
      </c>
      <c r="Q98" s="88">
        <v>340</v>
      </c>
      <c r="R98" s="88">
        <v>264</v>
      </c>
      <c r="S98" s="88">
        <v>219</v>
      </c>
      <c r="T98" s="88">
        <v>164</v>
      </c>
      <c r="U98" s="88">
        <v>132</v>
      </c>
      <c r="V98" s="88">
        <v>110</v>
      </c>
      <c r="W98" s="88">
        <v>94</v>
      </c>
      <c r="X98" s="88">
        <v>66</v>
      </c>
      <c r="Y98" s="88">
        <v>51</v>
      </c>
      <c r="Z98" s="179">
        <v>35</v>
      </c>
    </row>
    <row r="99" spans="1:26" s="7" customFormat="1" ht="13.5" thickBot="1" x14ac:dyDescent="0.25">
      <c r="N99" s="173"/>
      <c r="O99" s="178">
        <v>0.05</v>
      </c>
      <c r="P99" s="202">
        <v>560</v>
      </c>
      <c r="Q99" s="88">
        <v>387</v>
      </c>
      <c r="R99" s="88">
        <v>305</v>
      </c>
      <c r="S99" s="88">
        <v>256</v>
      </c>
      <c r="T99" s="88">
        <v>193</v>
      </c>
      <c r="U99" s="88">
        <v>154</v>
      </c>
      <c r="V99" s="88">
        <v>128</v>
      </c>
      <c r="W99" s="88">
        <v>111</v>
      </c>
      <c r="X99" s="88">
        <v>78</v>
      </c>
      <c r="Y99" s="88">
        <v>60</v>
      </c>
      <c r="Z99" s="179">
        <v>42</v>
      </c>
    </row>
    <row r="100" spans="1:26" ht="13.5" thickBot="1" x14ac:dyDescent="0.25">
      <c r="B100" s="115" t="s">
        <v>103</v>
      </c>
      <c r="O100" s="203">
        <v>3.3000000000000002E-2</v>
      </c>
      <c r="P100" s="204">
        <f>P99*1.08</f>
        <v>604.80000000000007</v>
      </c>
      <c r="Q100" s="205">
        <f>Q99*1.07</f>
        <v>414.09000000000003</v>
      </c>
      <c r="R100" s="205">
        <f>R99*1.07</f>
        <v>326.35000000000002</v>
      </c>
      <c r="S100" s="205">
        <f>S99*1.07</f>
        <v>273.92</v>
      </c>
      <c r="T100" s="205">
        <f>T99*1.08</f>
        <v>208.44000000000003</v>
      </c>
      <c r="U100" s="205">
        <f>U99*1.09</f>
        <v>167.86</v>
      </c>
      <c r="V100" s="205">
        <f>V99*1.1</f>
        <v>140.80000000000001</v>
      </c>
      <c r="W100" s="205">
        <f>W99*1.1</f>
        <v>122.10000000000001</v>
      </c>
      <c r="X100" s="205">
        <f>X99*1.11</f>
        <v>86.580000000000013</v>
      </c>
      <c r="Y100" s="205">
        <f>Y99*1.2</f>
        <v>72</v>
      </c>
      <c r="Z100" s="206">
        <f>Z99*1.13</f>
        <v>47.459999999999994</v>
      </c>
    </row>
    <row r="101" spans="1:26" ht="13.5" thickBot="1" x14ac:dyDescent="0.25">
      <c r="A101" s="1"/>
      <c r="B101" s="4">
        <v>5</v>
      </c>
      <c r="C101" s="5">
        <v>10</v>
      </c>
      <c r="D101" s="5">
        <v>15</v>
      </c>
      <c r="E101" s="5">
        <v>20</v>
      </c>
      <c r="F101" s="5">
        <v>30</v>
      </c>
      <c r="G101" s="5">
        <v>40</v>
      </c>
      <c r="H101" s="5">
        <v>50</v>
      </c>
      <c r="I101" s="5">
        <v>60</v>
      </c>
      <c r="J101" s="5">
        <v>90</v>
      </c>
      <c r="K101" s="5">
        <v>120</v>
      </c>
      <c r="L101" s="6">
        <v>180</v>
      </c>
      <c r="O101" s="210">
        <v>0.02</v>
      </c>
      <c r="P101" s="214">
        <f>P99*1.11</f>
        <v>621.6</v>
      </c>
      <c r="Q101" s="215">
        <f>Q99*1.11</f>
        <v>429.57000000000005</v>
      </c>
      <c r="R101" s="215">
        <f>R99*1.11</f>
        <v>338.55</v>
      </c>
      <c r="S101" s="215">
        <f>S99*1.11</f>
        <v>284.16000000000003</v>
      </c>
      <c r="T101" s="215">
        <f>T99*1.13</f>
        <v>218.08999999999997</v>
      </c>
      <c r="U101" s="215">
        <f>U99*1.13</f>
        <v>174.01999999999998</v>
      </c>
      <c r="V101" s="215">
        <f>V99*1.14</f>
        <v>145.91999999999999</v>
      </c>
      <c r="W101" s="215">
        <f>W99*1.14</f>
        <v>126.53999999999999</v>
      </c>
      <c r="X101" s="215">
        <f>X99*1.16</f>
        <v>90.47999999999999</v>
      </c>
      <c r="Y101" s="215">
        <f>Y99*1.16</f>
        <v>69.599999999999994</v>
      </c>
      <c r="Z101" s="216">
        <f>Z99*1.17</f>
        <v>49.14</v>
      </c>
    </row>
    <row r="102" spans="1:26" ht="13.5" thickBot="1" x14ac:dyDescent="0.25">
      <c r="A102" s="53">
        <v>1</v>
      </c>
      <c r="B102" s="147">
        <f>B89*1000/200</f>
        <v>109.21506629106041</v>
      </c>
      <c r="C102" s="148">
        <f t="shared" ref="C102:L102" si="37">C89*1000/200</f>
        <v>144.6545188645712</v>
      </c>
      <c r="D102" s="148">
        <f t="shared" si="37"/>
        <v>165.21793058709056</v>
      </c>
      <c r="E102" s="148">
        <f t="shared" si="37"/>
        <v>177.67901893456295</v>
      </c>
      <c r="F102" s="148">
        <f t="shared" si="37"/>
        <v>193.31728450116233</v>
      </c>
      <c r="G102" s="148">
        <f t="shared" si="37"/>
        <v>201.02802131177657</v>
      </c>
      <c r="H102" s="148">
        <f t="shared" si="37"/>
        <v>205.7437257956822</v>
      </c>
      <c r="I102" s="148">
        <f t="shared" si="37"/>
        <v>205.28935486656874</v>
      </c>
      <c r="J102" s="148">
        <f t="shared" si="37"/>
        <v>201.83337163688236</v>
      </c>
      <c r="K102" s="148">
        <f t="shared" si="37"/>
        <v>198.90345292136473</v>
      </c>
      <c r="L102" s="149">
        <f t="shared" si="37"/>
        <v>183.41566499332782</v>
      </c>
      <c r="O102" s="22">
        <v>0.01</v>
      </c>
      <c r="P102" s="207">
        <f>P99*1.17</f>
        <v>655.19999999999993</v>
      </c>
      <c r="Q102" s="208">
        <f>Q99*1.18</f>
        <v>456.65999999999997</v>
      </c>
      <c r="R102" s="208">
        <f>R99*1.2</f>
        <v>366</v>
      </c>
      <c r="S102" s="208">
        <f>S99*1.19</f>
        <v>304.64</v>
      </c>
      <c r="T102" s="208">
        <f>T99*1.21</f>
        <v>233.53</v>
      </c>
      <c r="U102" s="208">
        <f>U99*1.22</f>
        <v>187.88</v>
      </c>
      <c r="V102" s="208">
        <f>V99*1.19</f>
        <v>152.32</v>
      </c>
      <c r="W102" s="208">
        <f>W99*1.19</f>
        <v>132.09</v>
      </c>
      <c r="X102" s="208">
        <f>X99*1.19</f>
        <v>92.82</v>
      </c>
      <c r="Y102" s="208">
        <f>Y99*1.19</f>
        <v>71.399999999999991</v>
      </c>
      <c r="Z102" s="209">
        <f>Z99*1.19</f>
        <v>49.98</v>
      </c>
    </row>
    <row r="103" spans="1:26" ht="13.5" thickBot="1" x14ac:dyDescent="0.25">
      <c r="A103" s="77">
        <v>0.5</v>
      </c>
      <c r="B103" s="150">
        <f>B90*1000/200</f>
        <v>133.59342930245782</v>
      </c>
      <c r="C103" s="151">
        <f t="shared" ref="C103:L103" si="38">C90*1000/200</f>
        <v>176.26775808662981</v>
      </c>
      <c r="D103" s="151">
        <f t="shared" si="38"/>
        <v>200.52090720826371</v>
      </c>
      <c r="E103" s="151">
        <f t="shared" si="38"/>
        <v>216.54630432649859</v>
      </c>
      <c r="F103" s="151">
        <f t="shared" si="38"/>
        <v>236.27668105697623</v>
      </c>
      <c r="G103" s="151">
        <f t="shared" si="38"/>
        <v>246.08602608855415</v>
      </c>
      <c r="H103" s="151">
        <f t="shared" si="38"/>
        <v>251.93109281103941</v>
      </c>
      <c r="I103" s="151">
        <f t="shared" si="38"/>
        <v>254.1677726919423</v>
      </c>
      <c r="J103" s="151">
        <f t="shared" si="38"/>
        <v>255.65560407338432</v>
      </c>
      <c r="K103" s="151">
        <f t="shared" si="38"/>
        <v>232.05402840825892</v>
      </c>
      <c r="L103" s="152">
        <f t="shared" si="38"/>
        <v>215.78313528626802</v>
      </c>
      <c r="P103"/>
      <c r="Q103"/>
      <c r="R103"/>
      <c r="S103"/>
      <c r="T103"/>
      <c r="U103"/>
      <c r="V103"/>
      <c r="W103"/>
      <c r="X103"/>
      <c r="Y103"/>
      <c r="Z103"/>
    </row>
    <row r="104" spans="1:26" ht="13.5" thickBot="1" x14ac:dyDescent="0.25">
      <c r="A104" s="76">
        <v>0.2</v>
      </c>
      <c r="B104" s="153">
        <f>B91*1000/200</f>
        <v>168.21070477864214</v>
      </c>
      <c r="C104" s="154">
        <f t="shared" ref="C104:L104" si="39">C91*1000/200</f>
        <v>223.20862844665623</v>
      </c>
      <c r="D104" s="154">
        <f t="shared" si="39"/>
        <v>254.18143167244696</v>
      </c>
      <c r="E104" s="154">
        <f t="shared" si="39"/>
        <v>272.07099774354958</v>
      </c>
      <c r="F104" s="154">
        <f t="shared" si="39"/>
        <v>295.34585132122021</v>
      </c>
      <c r="G104" s="154">
        <f t="shared" si="39"/>
        <v>305.00803233510942</v>
      </c>
      <c r="H104" s="154">
        <f t="shared" si="39"/>
        <v>310.71501446694856</v>
      </c>
      <c r="I104" s="154">
        <f t="shared" si="39"/>
        <v>312.82187408239054</v>
      </c>
      <c r="J104" s="154">
        <f t="shared" si="39"/>
        <v>309.47783650988623</v>
      </c>
      <c r="K104" s="154">
        <f t="shared" si="39"/>
        <v>298.3551793820472</v>
      </c>
      <c r="L104" s="155">
        <f t="shared" si="39"/>
        <v>269.72891910783505</v>
      </c>
      <c r="N104" s="173">
        <v>10</v>
      </c>
      <c r="O104" s="49" t="s">
        <v>125</v>
      </c>
      <c r="R104" s="197" t="s">
        <v>117</v>
      </c>
    </row>
    <row r="105" spans="1:26" ht="13.5" thickBot="1" x14ac:dyDescent="0.25">
      <c r="A105" s="80">
        <v>0.1</v>
      </c>
      <c r="B105" s="156">
        <f>B92*1000/200</f>
        <v>190.63879874912774</v>
      </c>
      <c r="C105" s="157">
        <f t="shared" ref="C105:L105" si="40">C92*1000/200</f>
        <v>255.77984461483777</v>
      </c>
      <c r="D105" s="157">
        <f t="shared" si="40"/>
        <v>295.13288455300784</v>
      </c>
      <c r="E105" s="157">
        <f t="shared" si="40"/>
        <v>318.34157559109195</v>
      </c>
      <c r="F105" s="157">
        <f t="shared" si="40"/>
        <v>343.67517244651077</v>
      </c>
      <c r="G105" s="157">
        <f t="shared" si="40"/>
        <v>356.99803784677579</v>
      </c>
      <c r="H105" s="157">
        <f t="shared" si="40"/>
        <v>361.10123302915645</v>
      </c>
      <c r="I105" s="157">
        <f t="shared" si="40"/>
        <v>361.7002919077641</v>
      </c>
      <c r="J105" s="157">
        <f t="shared" si="40"/>
        <v>349.84451083726265</v>
      </c>
      <c r="K105" s="157">
        <f t="shared" si="40"/>
        <v>339.79339874066477</v>
      </c>
      <c r="L105" s="158">
        <f t="shared" si="40"/>
        <v>302.09638940077525</v>
      </c>
      <c r="O105" s="174" t="s">
        <v>52</v>
      </c>
      <c r="P105" s="175">
        <v>5</v>
      </c>
      <c r="Q105" s="176">
        <v>10</v>
      </c>
      <c r="R105" s="176">
        <v>15</v>
      </c>
      <c r="S105" s="176">
        <v>20</v>
      </c>
      <c r="T105" s="176">
        <v>30</v>
      </c>
      <c r="U105" s="176">
        <v>40</v>
      </c>
      <c r="V105" s="176">
        <v>50</v>
      </c>
      <c r="W105" s="176">
        <v>60</v>
      </c>
      <c r="X105" s="176">
        <v>90</v>
      </c>
      <c r="Y105" s="176">
        <v>120</v>
      </c>
      <c r="Z105" s="177">
        <v>180</v>
      </c>
    </row>
    <row r="106" spans="1:26" x14ac:dyDescent="0.2">
      <c r="A106" s="2">
        <v>0.05</v>
      </c>
      <c r="B106" s="156">
        <f>B93*1000/200</f>
        <v>211.60419093892952</v>
      </c>
      <c r="C106" s="157">
        <f t="shared" ref="C106:L106" si="41">C93*1000/200</f>
        <v>285.47712994465041</v>
      </c>
      <c r="D106" s="157">
        <f t="shared" si="41"/>
        <v>329.02374210933414</v>
      </c>
      <c r="E106" s="157">
        <f t="shared" si="41"/>
        <v>355.35803786912589</v>
      </c>
      <c r="F106" s="157">
        <f t="shared" si="41"/>
        <v>389.31953128706306</v>
      </c>
      <c r="G106" s="157">
        <f t="shared" si="41"/>
        <v>402.05604262355314</v>
      </c>
      <c r="H106" s="157">
        <f t="shared" si="41"/>
        <v>403.08974849766309</v>
      </c>
      <c r="I106" s="157">
        <f t="shared" si="41"/>
        <v>400.80302616806284</v>
      </c>
      <c r="J106" s="157">
        <f t="shared" si="41"/>
        <v>383.48340611007649</v>
      </c>
      <c r="K106" s="157">
        <f t="shared" si="41"/>
        <v>372.94397422755901</v>
      </c>
      <c r="L106" s="158">
        <f t="shared" si="41"/>
        <v>334.46385969371551</v>
      </c>
      <c r="O106" s="198">
        <v>1</v>
      </c>
      <c r="P106" s="202">
        <v>290</v>
      </c>
      <c r="Q106" s="88">
        <v>193</v>
      </c>
      <c r="R106" s="88">
        <v>150</v>
      </c>
      <c r="S106" s="88">
        <v>124</v>
      </c>
      <c r="T106" s="88">
        <v>95</v>
      </c>
      <c r="U106" s="88">
        <v>78</v>
      </c>
      <c r="V106" s="88">
        <v>66</v>
      </c>
      <c r="W106" s="88">
        <v>58</v>
      </c>
      <c r="X106" s="88">
        <v>43</v>
      </c>
      <c r="Y106" s="88">
        <v>34</v>
      </c>
      <c r="Z106" s="179">
        <v>24</v>
      </c>
    </row>
    <row r="107" spans="1:26" x14ac:dyDescent="0.2">
      <c r="A107" s="2">
        <v>3.3000000000000002E-2</v>
      </c>
      <c r="B107" s="156">
        <f t="shared" ref="B107:L107" si="42">B94*1000/200</f>
        <v>221.35553614348851</v>
      </c>
      <c r="C107" s="157">
        <f t="shared" si="42"/>
        <v>302.72071497486422</v>
      </c>
      <c r="D107" s="157">
        <f t="shared" si="42"/>
        <v>353.02976621173184</v>
      </c>
      <c r="E107" s="157">
        <f t="shared" si="42"/>
        <v>379.41873834984801</v>
      </c>
      <c r="F107" s="157">
        <f t="shared" si="42"/>
        <v>416.16915413444656</v>
      </c>
      <c r="G107" s="157">
        <f t="shared" si="42"/>
        <v>436.71604629799754</v>
      </c>
      <c r="H107" s="157">
        <f t="shared" si="42"/>
        <v>436.68056087246833</v>
      </c>
      <c r="I107" s="157">
        <f t="shared" si="42"/>
        <v>439.90576042836176</v>
      </c>
      <c r="J107" s="157">
        <f t="shared" si="42"/>
        <v>430.57785949201553</v>
      </c>
      <c r="K107" s="157">
        <f t="shared" si="42"/>
        <v>414.38219358617664</v>
      </c>
      <c r="L107" s="158">
        <f t="shared" si="42"/>
        <v>366.83132998665565</v>
      </c>
      <c r="O107" s="178">
        <v>0.5</v>
      </c>
      <c r="P107" s="202">
        <v>348</v>
      </c>
      <c r="Q107" s="88">
        <v>240</v>
      </c>
      <c r="R107" s="88">
        <v>188</v>
      </c>
      <c r="S107" s="88">
        <v>158</v>
      </c>
      <c r="T107" s="88">
        <v>122</v>
      </c>
      <c r="U107" s="88">
        <v>99</v>
      </c>
      <c r="V107" s="88">
        <v>84</v>
      </c>
      <c r="W107" s="88">
        <v>74</v>
      </c>
      <c r="X107" s="88">
        <v>54</v>
      </c>
      <c r="Y107" s="88">
        <v>44</v>
      </c>
      <c r="Z107" s="179">
        <v>31</v>
      </c>
    </row>
    <row r="108" spans="1:26" x14ac:dyDescent="0.2">
      <c r="A108" s="2">
        <v>0.02</v>
      </c>
      <c r="B108" s="156">
        <f t="shared" ref="B108:L109" si="43">B95*1000/200</f>
        <v>226.23120874576799</v>
      </c>
      <c r="C108" s="157">
        <f t="shared" si="43"/>
        <v>314.21643832834002</v>
      </c>
      <c r="D108" s="157">
        <f t="shared" si="43"/>
        <v>364.32671873050725</v>
      </c>
      <c r="E108" s="157">
        <f t="shared" si="43"/>
        <v>392.37450014716001</v>
      </c>
      <c r="F108" s="157">
        <f t="shared" si="43"/>
        <v>429.59396555813851</v>
      </c>
      <c r="G108" s="157">
        <f t="shared" si="43"/>
        <v>454.04604813521951</v>
      </c>
      <c r="H108" s="157">
        <f t="shared" si="43"/>
        <v>461.87367015357222</v>
      </c>
      <c r="I108" s="157">
        <f t="shared" si="43"/>
        <v>464.34496934104851</v>
      </c>
      <c r="J108" s="157">
        <f t="shared" si="43"/>
        <v>450.76119665570388</v>
      </c>
      <c r="K108" s="157">
        <f t="shared" si="43"/>
        <v>439.24512520134726</v>
      </c>
      <c r="L108" s="158">
        <f t="shared" si="43"/>
        <v>399.19880027959596</v>
      </c>
      <c r="O108" s="178">
        <v>0.2</v>
      </c>
      <c r="P108" s="202">
        <v>420</v>
      </c>
      <c r="Q108" s="88">
        <v>299</v>
      </c>
      <c r="R108" s="88">
        <v>237</v>
      </c>
      <c r="S108" s="88">
        <v>200</v>
      </c>
      <c r="T108" s="88">
        <v>155</v>
      </c>
      <c r="U108" s="88">
        <v>128</v>
      </c>
      <c r="V108" s="88">
        <v>110</v>
      </c>
      <c r="W108" s="88">
        <v>96</v>
      </c>
      <c r="X108" s="88">
        <v>72</v>
      </c>
      <c r="Y108" s="88">
        <v>58</v>
      </c>
      <c r="Z108" s="179">
        <v>42</v>
      </c>
    </row>
    <row r="109" spans="1:26" ht="13.5" thickBot="1" x14ac:dyDescent="0.25">
      <c r="A109" s="3">
        <v>0.01</v>
      </c>
      <c r="B109" s="153">
        <f>B96*1000/200</f>
        <v>233.05715038895934</v>
      </c>
      <c r="C109" s="154">
        <f t="shared" si="43"/>
        <v>324.75418473569289</v>
      </c>
      <c r="D109" s="154">
        <f t="shared" si="43"/>
        <v>379.86002844382352</v>
      </c>
      <c r="E109" s="154">
        <f t="shared" si="43"/>
        <v>410.88273128617686</v>
      </c>
      <c r="F109" s="154">
        <f t="shared" si="43"/>
        <v>456.44358840552218</v>
      </c>
      <c r="G109" s="154">
        <f t="shared" si="43"/>
        <v>485.2400514422194</v>
      </c>
      <c r="H109" s="154">
        <f t="shared" si="43"/>
        <v>495.4644825283774</v>
      </c>
      <c r="I109" s="154">
        <f t="shared" si="43"/>
        <v>488.78417825373532</v>
      </c>
      <c r="J109" s="154">
        <f t="shared" si="43"/>
        <v>484.40009192851755</v>
      </c>
      <c r="K109" s="154">
        <f t="shared" si="43"/>
        <v>464.10805681651783</v>
      </c>
      <c r="L109" s="155">
        <f t="shared" si="43"/>
        <v>420.77711380822279</v>
      </c>
      <c r="O109" s="178">
        <v>0.1</v>
      </c>
      <c r="P109" s="202">
        <v>460</v>
      </c>
      <c r="Q109" s="88">
        <v>337</v>
      </c>
      <c r="R109" s="88">
        <v>270</v>
      </c>
      <c r="S109" s="88">
        <v>230</v>
      </c>
      <c r="T109" s="88">
        <v>180</v>
      </c>
      <c r="U109" s="88">
        <v>150</v>
      </c>
      <c r="V109" s="88">
        <v>129</v>
      </c>
      <c r="W109" s="88">
        <v>114</v>
      </c>
      <c r="X109" s="88">
        <v>86</v>
      </c>
      <c r="Y109" s="88">
        <v>70</v>
      </c>
      <c r="Z109" s="179">
        <v>51</v>
      </c>
    </row>
    <row r="110" spans="1:26" x14ac:dyDescent="0.2">
      <c r="O110" s="178">
        <v>0.05</v>
      </c>
      <c r="P110" s="202">
        <v>494</v>
      </c>
      <c r="Q110" s="88">
        <v>371</v>
      </c>
      <c r="R110" s="88">
        <v>301</v>
      </c>
      <c r="S110" s="88">
        <v>258</v>
      </c>
      <c r="T110" s="88">
        <v>204</v>
      </c>
      <c r="U110" s="88">
        <v>171</v>
      </c>
      <c r="V110" s="88">
        <v>148</v>
      </c>
      <c r="W110" s="88">
        <v>132</v>
      </c>
      <c r="X110" s="88">
        <v>98</v>
      </c>
      <c r="Y110" s="88">
        <v>80</v>
      </c>
      <c r="Z110" s="179">
        <v>58</v>
      </c>
    </row>
    <row r="111" spans="1:26" x14ac:dyDescent="0.2">
      <c r="O111" s="178">
        <v>3.3000000000000002E-2</v>
      </c>
      <c r="P111" s="202">
        <v>516</v>
      </c>
      <c r="Q111" s="202">
        <v>394</v>
      </c>
      <c r="R111" s="202">
        <v>323</v>
      </c>
      <c r="S111" s="202">
        <v>279</v>
      </c>
      <c r="T111" s="202">
        <v>221</v>
      </c>
      <c r="U111" s="202">
        <v>185</v>
      </c>
      <c r="V111" s="202">
        <v>159</v>
      </c>
      <c r="W111" s="202">
        <v>141</v>
      </c>
      <c r="X111" s="202">
        <v>106</v>
      </c>
      <c r="Y111" s="202">
        <v>86</v>
      </c>
      <c r="Z111" s="179">
        <v>63</v>
      </c>
    </row>
    <row r="112" spans="1:26" ht="13.5" thickBot="1" x14ac:dyDescent="0.25">
      <c r="O112" s="180">
        <v>0.02</v>
      </c>
      <c r="P112" s="212">
        <v>536</v>
      </c>
      <c r="Q112" s="212">
        <v>413</v>
      </c>
      <c r="R112" s="212">
        <v>342</v>
      </c>
      <c r="S112" s="212">
        <v>295</v>
      </c>
      <c r="T112" s="212">
        <v>234</v>
      </c>
      <c r="U112" s="212">
        <v>196</v>
      </c>
      <c r="V112" s="212">
        <v>170</v>
      </c>
      <c r="W112" s="212">
        <v>152</v>
      </c>
      <c r="X112" s="212">
        <v>116</v>
      </c>
      <c r="Y112" s="212">
        <v>94</v>
      </c>
      <c r="Z112" s="213">
        <v>70</v>
      </c>
    </row>
    <row r="113" spans="10:26" ht="13.5" thickBot="1" x14ac:dyDescent="0.25">
      <c r="O113" s="180">
        <v>0.01</v>
      </c>
      <c r="P113" s="217">
        <f t="shared" ref="P113:V113" si="44">P112*1.05</f>
        <v>562.80000000000007</v>
      </c>
      <c r="Q113" s="217">
        <f t="shared" si="44"/>
        <v>433.65000000000003</v>
      </c>
      <c r="R113" s="217">
        <f t="shared" si="44"/>
        <v>359.1</v>
      </c>
      <c r="S113" s="217">
        <f t="shared" si="44"/>
        <v>309.75</v>
      </c>
      <c r="T113" s="217">
        <f t="shared" si="44"/>
        <v>245.70000000000002</v>
      </c>
      <c r="U113" s="217">
        <f t="shared" si="44"/>
        <v>205.8</v>
      </c>
      <c r="V113" s="217">
        <f t="shared" si="44"/>
        <v>178.5</v>
      </c>
      <c r="W113" s="217">
        <f>W112*1.06</f>
        <v>161.12</v>
      </c>
      <c r="X113" s="217">
        <f>X112*1.06</f>
        <v>122.96000000000001</v>
      </c>
      <c r="Y113" s="217">
        <f>Y112*1.06</f>
        <v>99.64</v>
      </c>
      <c r="Z113" s="217">
        <f>Z112*1.07</f>
        <v>74.900000000000006</v>
      </c>
    </row>
    <row r="115" spans="10:26" ht="13.5" thickBot="1" x14ac:dyDescent="0.25">
      <c r="N115" s="173">
        <v>11</v>
      </c>
      <c r="O115" s="49" t="s">
        <v>126</v>
      </c>
      <c r="R115" s="197" t="s">
        <v>117</v>
      </c>
    </row>
    <row r="116" spans="10:26" ht="13.5" thickBot="1" x14ac:dyDescent="0.25">
      <c r="O116" s="174" t="s">
        <v>52</v>
      </c>
      <c r="P116" s="175">
        <v>5</v>
      </c>
      <c r="Q116" s="176">
        <v>10</v>
      </c>
      <c r="R116" s="176">
        <v>15</v>
      </c>
      <c r="S116" s="176">
        <v>20</v>
      </c>
      <c r="T116" s="176">
        <v>30</v>
      </c>
      <c r="U116" s="176">
        <v>40</v>
      </c>
      <c r="V116" s="176">
        <v>50</v>
      </c>
      <c r="W116" s="176">
        <v>60</v>
      </c>
      <c r="X116" s="176">
        <v>90</v>
      </c>
      <c r="Y116" s="176">
        <v>120</v>
      </c>
      <c r="Z116" s="177">
        <v>180</v>
      </c>
    </row>
    <row r="117" spans="10:26" x14ac:dyDescent="0.2">
      <c r="O117" s="198">
        <v>1</v>
      </c>
      <c r="P117" s="201">
        <v>257</v>
      </c>
      <c r="Q117" s="88">
        <v>177</v>
      </c>
      <c r="R117" s="88">
        <v>138</v>
      </c>
      <c r="S117" s="88">
        <v>114</v>
      </c>
      <c r="T117" s="88">
        <v>84</v>
      </c>
      <c r="U117" s="88">
        <v>67</v>
      </c>
      <c r="V117" s="88">
        <v>55</v>
      </c>
      <c r="W117" s="88">
        <v>47</v>
      </c>
      <c r="X117" s="88">
        <v>32</v>
      </c>
      <c r="Y117" s="88">
        <v>25</v>
      </c>
      <c r="Z117" s="179">
        <v>17</v>
      </c>
    </row>
    <row r="118" spans="10:26" x14ac:dyDescent="0.2">
      <c r="O118" s="178">
        <v>0.5</v>
      </c>
      <c r="P118" s="201">
        <v>304</v>
      </c>
      <c r="Q118" s="88">
        <v>213</v>
      </c>
      <c r="R118" s="88">
        <v>172</v>
      </c>
      <c r="S118" s="88">
        <v>145</v>
      </c>
      <c r="T118" s="88">
        <v>110</v>
      </c>
      <c r="U118" s="88">
        <v>88</v>
      </c>
      <c r="V118" s="88">
        <v>72</v>
      </c>
      <c r="W118" s="88">
        <v>61</v>
      </c>
      <c r="X118" s="88">
        <v>42</v>
      </c>
      <c r="Y118" s="88">
        <v>32</v>
      </c>
      <c r="Z118" s="179">
        <v>22</v>
      </c>
    </row>
    <row r="119" spans="10:26" ht="13.5" thickBot="1" x14ac:dyDescent="0.25">
      <c r="O119" s="178">
        <v>0.2</v>
      </c>
      <c r="P119" s="201">
        <v>365</v>
      </c>
      <c r="Q119" s="88">
        <v>270</v>
      </c>
      <c r="R119" s="88">
        <v>220</v>
      </c>
      <c r="S119" s="88">
        <v>186</v>
      </c>
      <c r="T119" s="88">
        <v>144</v>
      </c>
      <c r="U119" s="88">
        <v>116</v>
      </c>
      <c r="V119" s="88">
        <v>96</v>
      </c>
      <c r="W119" s="88">
        <v>82</v>
      </c>
      <c r="X119" s="88">
        <v>58</v>
      </c>
      <c r="Y119" s="88">
        <v>45</v>
      </c>
      <c r="Z119" s="179">
        <v>30</v>
      </c>
    </row>
    <row r="120" spans="10:26" ht="13.5" thickBot="1" x14ac:dyDescent="0.25">
      <c r="J120" s="73" t="s">
        <v>52</v>
      </c>
      <c r="K120" s="65" t="s">
        <v>53</v>
      </c>
      <c r="L120" s="66"/>
      <c r="O120" s="178">
        <v>0.1</v>
      </c>
      <c r="P120" s="201">
        <v>438</v>
      </c>
      <c r="Q120" s="88">
        <v>322</v>
      </c>
      <c r="R120" s="88">
        <v>262</v>
      </c>
      <c r="S120" s="88">
        <v>223</v>
      </c>
      <c r="T120" s="88">
        <v>174</v>
      </c>
      <c r="U120" s="88">
        <v>142</v>
      </c>
      <c r="V120" s="88">
        <v>120</v>
      </c>
      <c r="W120" s="88">
        <v>102</v>
      </c>
      <c r="X120" s="88">
        <v>72</v>
      </c>
      <c r="Y120" s="88">
        <v>56</v>
      </c>
      <c r="Z120" s="179">
        <v>38</v>
      </c>
    </row>
    <row r="121" spans="10:26" ht="13.5" thickBot="1" x14ac:dyDescent="0.25">
      <c r="J121" s="64">
        <v>0.01</v>
      </c>
      <c r="K121" s="72" t="s">
        <v>61</v>
      </c>
      <c r="L121" s="68"/>
      <c r="O121" s="178">
        <v>0.05</v>
      </c>
      <c r="P121" s="201">
        <v>495</v>
      </c>
      <c r="Q121" s="88">
        <v>370</v>
      </c>
      <c r="R121" s="88">
        <v>300</v>
      </c>
      <c r="S121" s="88">
        <v>250</v>
      </c>
      <c r="T121" s="88">
        <v>193</v>
      </c>
      <c r="U121" s="88">
        <v>158</v>
      </c>
      <c r="V121" s="88">
        <v>134</v>
      </c>
      <c r="W121" s="88">
        <v>117</v>
      </c>
      <c r="X121" s="88">
        <v>84</v>
      </c>
      <c r="Y121" s="88">
        <v>66</v>
      </c>
      <c r="Z121" s="179">
        <v>45</v>
      </c>
    </row>
    <row r="122" spans="10:26" ht="13.5" thickBot="1" x14ac:dyDescent="0.25">
      <c r="J122" s="69">
        <v>0.02</v>
      </c>
      <c r="K122" s="71" t="s">
        <v>60</v>
      </c>
      <c r="L122" s="67"/>
      <c r="O122" s="180">
        <v>3.3000000000000002E-2</v>
      </c>
      <c r="P122" s="201">
        <v>520</v>
      </c>
      <c r="Q122" s="202">
        <v>401</v>
      </c>
      <c r="R122" s="202">
        <v>325</v>
      </c>
      <c r="S122" s="202">
        <v>274</v>
      </c>
      <c r="T122" s="202">
        <v>210</v>
      </c>
      <c r="U122" s="202">
        <v>172</v>
      </c>
      <c r="V122" s="202">
        <v>146</v>
      </c>
      <c r="W122" s="202">
        <v>128</v>
      </c>
      <c r="X122" s="202">
        <v>93</v>
      </c>
      <c r="Y122" s="202">
        <v>74</v>
      </c>
      <c r="Z122" s="179">
        <v>53</v>
      </c>
    </row>
    <row r="123" spans="10:26" x14ac:dyDescent="0.2">
      <c r="J123" s="69">
        <v>3.3000000000000002E-2</v>
      </c>
      <c r="K123" s="71" t="s">
        <v>59</v>
      </c>
      <c r="L123" s="70"/>
      <c r="O123" s="210">
        <v>0.02</v>
      </c>
      <c r="P123" s="204">
        <f>P122*1.04</f>
        <v>540.80000000000007</v>
      </c>
      <c r="Q123" s="205">
        <f>Q122*1.05</f>
        <v>421.05</v>
      </c>
      <c r="R123" s="205">
        <f t="shared" ref="R123:X123" si="45">R122*1.06</f>
        <v>344.5</v>
      </c>
      <c r="S123" s="205">
        <f t="shared" si="45"/>
        <v>290.44</v>
      </c>
      <c r="T123" s="205">
        <f t="shared" si="45"/>
        <v>222.60000000000002</v>
      </c>
      <c r="U123" s="205">
        <f t="shared" si="45"/>
        <v>182.32000000000002</v>
      </c>
      <c r="V123" s="205">
        <f t="shared" si="45"/>
        <v>154.76000000000002</v>
      </c>
      <c r="W123" s="205">
        <f t="shared" si="45"/>
        <v>135.68</v>
      </c>
      <c r="X123" s="205">
        <f t="shared" si="45"/>
        <v>98.58</v>
      </c>
      <c r="Y123" s="205">
        <f>Y122*1.07</f>
        <v>79.180000000000007</v>
      </c>
      <c r="Z123" s="206">
        <f>Z122*1.07</f>
        <v>56.71</v>
      </c>
    </row>
    <row r="124" spans="10:26" ht="13.5" thickBot="1" x14ac:dyDescent="0.25">
      <c r="J124" s="69">
        <v>0.05</v>
      </c>
      <c r="K124" s="71" t="s">
        <v>58</v>
      </c>
      <c r="L124" s="70"/>
      <c r="O124" s="22">
        <v>0.01</v>
      </c>
      <c r="P124" s="207">
        <f>P122*1.09</f>
        <v>566.80000000000007</v>
      </c>
      <c r="Q124" s="208">
        <f>Q122*1.1</f>
        <v>441.1</v>
      </c>
      <c r="R124" s="208">
        <f>R122*1.11</f>
        <v>360.75000000000006</v>
      </c>
      <c r="S124" s="208">
        <f>S122*1.11</f>
        <v>304.14000000000004</v>
      </c>
      <c r="T124" s="208">
        <f>T122*1.11</f>
        <v>233.10000000000002</v>
      </c>
      <c r="U124" s="208">
        <f>U122*1.12</f>
        <v>192.64000000000001</v>
      </c>
      <c r="V124" s="208">
        <f>V122*1.12</f>
        <v>163.52000000000001</v>
      </c>
      <c r="W124" s="208">
        <f>W122*1.12</f>
        <v>143.36000000000001</v>
      </c>
      <c r="X124" s="208">
        <f>X122*1.13</f>
        <v>105.08999999999999</v>
      </c>
      <c r="Y124" s="208">
        <f>Y122*1.13</f>
        <v>83.61999999999999</v>
      </c>
      <c r="Z124" s="209">
        <f>Z122*1.14</f>
        <v>60.419999999999995</v>
      </c>
    </row>
    <row r="125" spans="10:26" x14ac:dyDescent="0.2">
      <c r="J125" s="69">
        <v>0.1</v>
      </c>
      <c r="K125" s="71" t="s">
        <v>57</v>
      </c>
      <c r="L125" s="70"/>
    </row>
    <row r="126" spans="10:26" ht="13.5" thickBot="1" x14ac:dyDescent="0.25">
      <c r="J126" s="76">
        <v>0.2</v>
      </c>
      <c r="K126" s="74" t="s">
        <v>56</v>
      </c>
      <c r="L126" s="70"/>
      <c r="N126" s="173">
        <v>12</v>
      </c>
      <c r="O126" s="49" t="s">
        <v>127</v>
      </c>
      <c r="R126" s="197" t="s">
        <v>117</v>
      </c>
    </row>
    <row r="127" spans="10:26" ht="13.5" thickBot="1" x14ac:dyDescent="0.25">
      <c r="J127" s="77">
        <v>0.5</v>
      </c>
      <c r="K127" s="75" t="s">
        <v>55</v>
      </c>
      <c r="L127" s="70"/>
      <c r="O127" s="174" t="s">
        <v>52</v>
      </c>
      <c r="P127" s="175">
        <v>5</v>
      </c>
      <c r="Q127" s="176">
        <v>10</v>
      </c>
      <c r="R127" s="176">
        <v>15</v>
      </c>
      <c r="S127" s="176">
        <v>20</v>
      </c>
      <c r="T127" s="176">
        <v>30</v>
      </c>
      <c r="U127" s="176">
        <v>40</v>
      </c>
      <c r="V127" s="176">
        <v>50</v>
      </c>
      <c r="W127" s="176">
        <v>60</v>
      </c>
      <c r="X127" s="176">
        <v>90</v>
      </c>
      <c r="Y127" s="176">
        <v>120</v>
      </c>
      <c r="Z127" s="177">
        <v>180</v>
      </c>
    </row>
    <row r="128" spans="10:26" ht="13.5" thickBot="1" x14ac:dyDescent="0.25">
      <c r="J128" s="64">
        <v>1</v>
      </c>
      <c r="K128" s="72" t="s">
        <v>54</v>
      </c>
      <c r="L128" s="23"/>
      <c r="O128" s="198">
        <v>1</v>
      </c>
      <c r="P128" s="201">
        <v>245</v>
      </c>
      <c r="Q128" s="88">
        <v>162</v>
      </c>
      <c r="R128" s="88">
        <v>125</v>
      </c>
      <c r="S128" s="88">
        <v>103</v>
      </c>
      <c r="T128" s="88">
        <v>77</v>
      </c>
      <c r="U128" s="88">
        <v>62</v>
      </c>
      <c r="V128" s="88">
        <v>53</v>
      </c>
      <c r="W128" s="88">
        <v>45</v>
      </c>
      <c r="X128" s="88">
        <v>32</v>
      </c>
      <c r="Y128" s="88">
        <v>25</v>
      </c>
      <c r="Z128" s="179">
        <v>17</v>
      </c>
    </row>
    <row r="129" spans="1:26" x14ac:dyDescent="0.2">
      <c r="O129" s="178">
        <v>0.5</v>
      </c>
      <c r="P129" s="201">
        <v>295</v>
      </c>
      <c r="Q129" s="88">
        <v>200</v>
      </c>
      <c r="R129" s="88">
        <v>154</v>
      </c>
      <c r="S129" s="88">
        <v>127</v>
      </c>
      <c r="T129" s="88">
        <v>95</v>
      </c>
      <c r="U129" s="88">
        <v>77</v>
      </c>
      <c r="V129" s="88">
        <v>65</v>
      </c>
      <c r="W129" s="88">
        <v>56</v>
      </c>
      <c r="X129" s="88">
        <v>41</v>
      </c>
      <c r="Y129" s="88">
        <v>32</v>
      </c>
      <c r="Z129" s="179">
        <v>22</v>
      </c>
    </row>
    <row r="130" spans="1:26" x14ac:dyDescent="0.2">
      <c r="O130" s="178">
        <v>0.2</v>
      </c>
      <c r="P130" s="201">
        <v>368</v>
      </c>
      <c r="Q130" s="88">
        <v>254</v>
      </c>
      <c r="R130" s="88">
        <v>194</v>
      </c>
      <c r="S130" s="88">
        <v>160</v>
      </c>
      <c r="T130" s="88">
        <v>119</v>
      </c>
      <c r="U130" s="88">
        <v>94</v>
      </c>
      <c r="V130" s="88">
        <v>79</v>
      </c>
      <c r="W130" s="88">
        <v>68</v>
      </c>
      <c r="X130" s="88">
        <v>48</v>
      </c>
      <c r="Y130" s="88">
        <v>38</v>
      </c>
      <c r="Z130" s="179">
        <v>25</v>
      </c>
    </row>
    <row r="131" spans="1:26" x14ac:dyDescent="0.2">
      <c r="O131" s="178">
        <v>0.1</v>
      </c>
      <c r="P131" s="201">
        <v>412</v>
      </c>
      <c r="Q131" s="88">
        <v>288</v>
      </c>
      <c r="R131" s="88">
        <v>220</v>
      </c>
      <c r="S131" s="88">
        <v>180</v>
      </c>
      <c r="T131" s="88">
        <v>134</v>
      </c>
      <c r="U131" s="88">
        <v>107</v>
      </c>
      <c r="V131" s="88">
        <v>88</v>
      </c>
      <c r="W131" s="88">
        <v>76</v>
      </c>
      <c r="X131" s="88">
        <v>54</v>
      </c>
      <c r="Y131" s="88">
        <v>42</v>
      </c>
      <c r="Z131" s="179">
        <v>28</v>
      </c>
    </row>
    <row r="132" spans="1:26" x14ac:dyDescent="0.2">
      <c r="O132" s="178">
        <v>0.05</v>
      </c>
      <c r="P132" s="201">
        <v>463</v>
      </c>
      <c r="Q132" s="88">
        <v>320</v>
      </c>
      <c r="R132" s="88">
        <v>248</v>
      </c>
      <c r="S132" s="88">
        <v>202</v>
      </c>
      <c r="T132" s="88">
        <v>150</v>
      </c>
      <c r="U132" s="88">
        <v>120</v>
      </c>
      <c r="V132" s="88">
        <v>99</v>
      </c>
      <c r="W132" s="88">
        <v>85</v>
      </c>
      <c r="X132" s="88">
        <v>60</v>
      </c>
      <c r="Y132" s="88">
        <v>46</v>
      </c>
      <c r="Z132" s="179">
        <v>31</v>
      </c>
    </row>
    <row r="133" spans="1:26" ht="13.5" thickBot="1" x14ac:dyDescent="0.25">
      <c r="O133" s="180">
        <v>3.3000000000000002E-2</v>
      </c>
      <c r="P133" s="201">
        <v>490</v>
      </c>
      <c r="Q133" s="202">
        <v>338</v>
      </c>
      <c r="R133" s="202">
        <v>262</v>
      </c>
      <c r="S133" s="202">
        <v>213</v>
      </c>
      <c r="T133" s="202">
        <v>158</v>
      </c>
      <c r="U133" s="202">
        <v>127</v>
      </c>
      <c r="V133" s="202">
        <v>105</v>
      </c>
      <c r="W133" s="202">
        <v>90</v>
      </c>
      <c r="X133" s="202">
        <v>63</v>
      </c>
      <c r="Y133" s="202">
        <v>49</v>
      </c>
      <c r="Z133" s="179">
        <v>33</v>
      </c>
    </row>
    <row r="134" spans="1:26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O134" s="210">
        <v>0.02</v>
      </c>
      <c r="P134" s="204">
        <f>P133*1.04</f>
        <v>509.6</v>
      </c>
      <c r="Q134" s="205">
        <f>Q133*1.05</f>
        <v>354.90000000000003</v>
      </c>
      <c r="R134" s="205">
        <f t="shared" ref="R134:X134" si="46">R133*1.06</f>
        <v>277.72000000000003</v>
      </c>
      <c r="S134" s="205">
        <f t="shared" si="46"/>
        <v>225.78</v>
      </c>
      <c r="T134" s="205">
        <f t="shared" si="46"/>
        <v>167.48000000000002</v>
      </c>
      <c r="U134" s="205">
        <f t="shared" si="46"/>
        <v>134.62</v>
      </c>
      <c r="V134" s="205">
        <f t="shared" si="46"/>
        <v>111.30000000000001</v>
      </c>
      <c r="W134" s="205">
        <f t="shared" si="46"/>
        <v>95.4</v>
      </c>
      <c r="X134" s="205">
        <f t="shared" si="46"/>
        <v>66.78</v>
      </c>
      <c r="Y134" s="205">
        <f>Y133*1.07</f>
        <v>52.43</v>
      </c>
      <c r="Z134" s="206">
        <f>Z133*1.07</f>
        <v>35.31</v>
      </c>
    </row>
    <row r="135" spans="1:26" ht="13.5" thickBot="1" x14ac:dyDescent="0.25">
      <c r="A135" s="15" t="s">
        <v>104</v>
      </c>
      <c r="B135" s="15"/>
      <c r="C135" s="15"/>
      <c r="D135" s="15"/>
      <c r="E135" s="15"/>
      <c r="F135" s="15"/>
      <c r="G135" s="15"/>
      <c r="H135" s="15"/>
      <c r="I135" s="15"/>
      <c r="O135" s="22">
        <v>0.01</v>
      </c>
      <c r="P135" s="207">
        <f>P133*1.09</f>
        <v>534.1</v>
      </c>
      <c r="Q135" s="208">
        <f>Q133*1.1</f>
        <v>371.8</v>
      </c>
      <c r="R135" s="208">
        <f>R133*1.11</f>
        <v>290.82000000000005</v>
      </c>
      <c r="S135" s="208">
        <f>S133*1.11</f>
        <v>236.43</v>
      </c>
      <c r="T135" s="208">
        <f>T133*1.11</f>
        <v>175.38000000000002</v>
      </c>
      <c r="U135" s="208">
        <f>U133*1.12</f>
        <v>142.24</v>
      </c>
      <c r="V135" s="208">
        <f>V133*1.12</f>
        <v>117.60000000000001</v>
      </c>
      <c r="W135" s="208">
        <f>W133*1.12</f>
        <v>100.80000000000001</v>
      </c>
      <c r="X135" s="208">
        <f>X133*1.13</f>
        <v>71.19</v>
      </c>
      <c r="Y135" s="208">
        <f>Y133*1.13</f>
        <v>55.37</v>
      </c>
      <c r="Z135" s="209">
        <f>Z133*1.14</f>
        <v>37.619999999999997</v>
      </c>
    </row>
    <row r="136" spans="1:26" x14ac:dyDescent="0.2">
      <c r="A136" s="15"/>
      <c r="B136" s="15"/>
      <c r="C136" s="15"/>
      <c r="D136" s="15"/>
      <c r="E136" s="15"/>
      <c r="F136" s="15"/>
      <c r="G136" s="15"/>
      <c r="H136" s="15"/>
      <c r="I136" s="15"/>
    </row>
    <row r="137" spans="1:26" ht="13.5" thickBot="1" x14ac:dyDescent="0.25">
      <c r="A137" s="15"/>
      <c r="B137" s="15"/>
      <c r="C137" s="15"/>
      <c r="D137" s="15"/>
      <c r="E137" s="15"/>
      <c r="F137" s="15"/>
      <c r="G137" s="15"/>
      <c r="H137" s="15"/>
      <c r="I137" s="15"/>
      <c r="N137" s="173">
        <v>13</v>
      </c>
      <c r="O137" s="49" t="s">
        <v>128</v>
      </c>
      <c r="R137" s="197" t="s">
        <v>117</v>
      </c>
    </row>
    <row r="138" spans="1:26" ht="13.5" thickBot="1" x14ac:dyDescent="0.25">
      <c r="A138" s="15"/>
      <c r="B138" s="15"/>
      <c r="C138" s="15"/>
      <c r="D138" s="15"/>
      <c r="E138" s="15"/>
      <c r="F138" s="15"/>
      <c r="G138" s="15"/>
      <c r="H138" s="15"/>
      <c r="I138" s="15"/>
      <c r="O138" s="174" t="s">
        <v>52</v>
      </c>
      <c r="P138" s="175">
        <v>5</v>
      </c>
      <c r="Q138" s="176">
        <v>10</v>
      </c>
      <c r="R138" s="176">
        <v>15</v>
      </c>
      <c r="S138" s="176">
        <v>20</v>
      </c>
      <c r="T138" s="176">
        <v>30</v>
      </c>
      <c r="U138" s="176">
        <v>40</v>
      </c>
      <c r="V138" s="176">
        <v>50</v>
      </c>
      <c r="W138" s="176">
        <v>60</v>
      </c>
      <c r="X138" s="176">
        <v>90</v>
      </c>
      <c r="Y138" s="176">
        <v>120</v>
      </c>
      <c r="Z138" s="177">
        <v>180</v>
      </c>
    </row>
    <row r="139" spans="1:26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O139" s="198">
        <v>1</v>
      </c>
      <c r="P139" s="201">
        <v>231</v>
      </c>
      <c r="Q139" s="88">
        <v>166</v>
      </c>
      <c r="R139" s="88">
        <v>130</v>
      </c>
      <c r="S139" s="88">
        <v>108</v>
      </c>
      <c r="T139" s="88">
        <v>81</v>
      </c>
      <c r="U139" s="88">
        <v>65</v>
      </c>
      <c r="V139" s="88">
        <v>54</v>
      </c>
      <c r="W139" s="88">
        <v>47</v>
      </c>
      <c r="X139" s="88">
        <v>33</v>
      </c>
      <c r="Y139" s="88">
        <v>25</v>
      </c>
      <c r="Z139" s="179">
        <v>17</v>
      </c>
    </row>
    <row r="140" spans="1:26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O140" s="178">
        <v>0.5</v>
      </c>
      <c r="P140" s="201">
        <v>281</v>
      </c>
      <c r="Q140" s="88">
        <v>200</v>
      </c>
      <c r="R140" s="88">
        <v>157</v>
      </c>
      <c r="S140" s="88">
        <v>130</v>
      </c>
      <c r="T140" s="88">
        <v>98</v>
      </c>
      <c r="U140" s="88">
        <v>79</v>
      </c>
      <c r="V140" s="88">
        <v>66</v>
      </c>
      <c r="W140" s="88">
        <v>57</v>
      </c>
      <c r="X140" s="88">
        <v>40</v>
      </c>
      <c r="Y140" s="88">
        <v>31</v>
      </c>
      <c r="Z140" s="179">
        <v>21</v>
      </c>
    </row>
    <row r="141" spans="1:26" x14ac:dyDescent="0.2">
      <c r="A141" s="51" t="s">
        <v>69</v>
      </c>
      <c r="C141" s="15"/>
      <c r="D141" s="15"/>
      <c r="E141" s="15"/>
      <c r="F141" s="15"/>
      <c r="G141" s="15"/>
      <c r="H141" s="15"/>
      <c r="I141" s="15"/>
      <c r="O141" s="178">
        <v>0.2</v>
      </c>
      <c r="P141" s="201">
        <v>323</v>
      </c>
      <c r="Q141" s="88">
        <v>237</v>
      </c>
      <c r="R141" s="88">
        <v>187</v>
      </c>
      <c r="S141" s="88">
        <v>156</v>
      </c>
      <c r="T141" s="88">
        <v>118</v>
      </c>
      <c r="U141" s="88">
        <v>96</v>
      </c>
      <c r="V141" s="88">
        <v>80</v>
      </c>
      <c r="W141" s="88">
        <v>70</v>
      </c>
      <c r="X141" s="88">
        <v>50</v>
      </c>
      <c r="Y141" s="88">
        <v>40</v>
      </c>
      <c r="Z141" s="179">
        <v>27</v>
      </c>
    </row>
    <row r="142" spans="1:26" ht="13.5" thickBot="1" x14ac:dyDescent="0.25">
      <c r="A142" t="s">
        <v>68</v>
      </c>
      <c r="C142" s="15"/>
      <c r="D142" s="15"/>
      <c r="E142" s="15"/>
      <c r="F142" s="15"/>
      <c r="G142" s="15"/>
      <c r="H142" s="15"/>
      <c r="I142" s="15"/>
      <c r="O142" s="178">
        <v>0.1</v>
      </c>
      <c r="P142" s="201">
        <v>342</v>
      </c>
      <c r="Q142" s="88">
        <v>257</v>
      </c>
      <c r="R142" s="88">
        <v>207</v>
      </c>
      <c r="S142" s="88">
        <v>174</v>
      </c>
      <c r="T142" s="88">
        <v>133</v>
      </c>
      <c r="U142" s="88">
        <v>108</v>
      </c>
      <c r="V142" s="88">
        <v>91</v>
      </c>
      <c r="W142" s="88">
        <v>80</v>
      </c>
      <c r="X142" s="88">
        <v>57</v>
      </c>
      <c r="Y142" s="88">
        <v>45</v>
      </c>
      <c r="Z142" s="179">
        <v>32</v>
      </c>
    </row>
    <row r="143" spans="1:26" ht="13.5" thickBot="1" x14ac:dyDescent="0.25">
      <c r="A143" s="8"/>
      <c r="B143" s="9">
        <v>5</v>
      </c>
      <c r="C143" s="10">
        <v>10</v>
      </c>
      <c r="D143" s="10">
        <v>15</v>
      </c>
      <c r="E143" s="10">
        <v>20</v>
      </c>
      <c r="F143" s="10">
        <v>30</v>
      </c>
      <c r="G143" s="10">
        <v>40</v>
      </c>
      <c r="H143" s="10">
        <v>50</v>
      </c>
      <c r="I143" s="10">
        <v>60</v>
      </c>
      <c r="J143" s="10">
        <v>90</v>
      </c>
      <c r="K143" s="10">
        <v>120</v>
      </c>
      <c r="L143" s="11">
        <v>180</v>
      </c>
      <c r="O143" s="178">
        <v>0.05</v>
      </c>
      <c r="P143" s="201">
        <v>370</v>
      </c>
      <c r="Q143" s="88">
        <v>280</v>
      </c>
      <c r="R143" s="88">
        <v>224</v>
      </c>
      <c r="S143" s="88">
        <v>191</v>
      </c>
      <c r="T143" s="88">
        <v>148</v>
      </c>
      <c r="U143" s="88">
        <v>122</v>
      </c>
      <c r="V143" s="88">
        <v>102</v>
      </c>
      <c r="W143" s="88">
        <v>89</v>
      </c>
      <c r="X143" s="88">
        <v>64</v>
      </c>
      <c r="Y143" s="88">
        <v>51</v>
      </c>
      <c r="Z143" s="179">
        <v>36</v>
      </c>
    </row>
    <row r="144" spans="1:26" ht="13.5" thickBot="1" x14ac:dyDescent="0.25">
      <c r="A144" s="12">
        <v>1</v>
      </c>
      <c r="B144" s="97">
        <f t="shared" ref="B144:B150" si="47">($B$96-B89)+((B78+$G$20*0.4*0.5)*($G$19+$G$20*0.4*0.5))*$G$17*$B$42*60</f>
        <v>25.466551737213464</v>
      </c>
      <c r="C144" s="97">
        <f t="shared" ref="C144:C150" si="48">($C$96-C89)+((C78+$G$20*0.4*0.5)*($G$19+$G$20*0.4*0.5))*$G$17*$B$42*60</f>
        <v>36.941336643071139</v>
      </c>
      <c r="D144" s="97">
        <f t="shared" ref="D144:D150" si="49">($D$96-D89)+((D78+$G$20*0.4*0.5)*($G$19+$G$20*0.4*0.5))*$G$17*$B$42*60</f>
        <v>43.979372534045275</v>
      </c>
      <c r="E144" s="97">
        <f t="shared" ref="E144:E150" si="50">($E$96-E89)+((E78+$G$20*0.4*0.5)*($G$19+$G$20*0.4*0.5))*$G$17*$B$42*60</f>
        <v>47.770200289610528</v>
      </c>
      <c r="F144" s="97">
        <f t="shared" ref="F144:F150" si="51">($F$96-F89)+((F78+$G$20*0.4*0.5)*($G$19+$G$20*0.4*0.5))*$G$17*$B$42*60</f>
        <v>53.85323967322929</v>
      </c>
      <c r="G144" s="97">
        <f t="shared" ref="G144:G150" si="52">($G$96-G89)+((G78+$G$20*0.4*0.5)*($G$19+$G$20*0.4*0.5))*$G$17*$B$42*60</f>
        <v>58.118962560352756</v>
      </c>
      <c r="H144" s="97">
        <f t="shared" ref="H144:H150" si="53">($H$96-H89)+((H78+$G$20*0.4*0.5)*($G$19+$G$20*0.4*0.5))*$G$17*$B$42*60</f>
        <v>59.250416819051843</v>
      </c>
      <c r="I144" s="97">
        <f t="shared" ref="I144:I150" si="54">($I$96-I89)+((I78+$G$20*0.4*0.5)*($G$19+$G$20*0.4*0.5))*$G$17*$B$42*60</f>
        <v>58.002367613092694</v>
      </c>
      <c r="J144" s="97">
        <f t="shared" ref="J144:J150" si="55">($J$96-J89)+((J78+$G$20*0.4*0.5)*($G$19+$G$20*0.4*0.5))*$G$17*$B$42*60</f>
        <v>57.794974299639406</v>
      </c>
      <c r="K144" s="97">
        <f t="shared" ref="K144:K150" si="56">($K$96-K89)+((K78+$G$20*0.4*0.5)*($G$19+$G$20*0.4*0.5))*$G$17*$B$42*60</f>
        <v>54.304092532435227</v>
      </c>
      <c r="L144" s="97">
        <f t="shared" ref="L144:L150" si="57">($L$96-L89)+((L78+$G$20*0.4*0.5)*($G$19+$G$20*0.4*0.5))*$G$17*$B$42*60</f>
        <v>48.637888452436961</v>
      </c>
      <c r="O144" s="180">
        <v>3.3000000000000002E-2</v>
      </c>
      <c r="P144" s="201">
        <v>387</v>
      </c>
      <c r="Q144" s="202">
        <v>293</v>
      </c>
      <c r="R144" s="202">
        <v>235</v>
      </c>
      <c r="S144" s="202">
        <v>200</v>
      </c>
      <c r="T144" s="202">
        <v>156</v>
      </c>
      <c r="U144" s="202">
        <v>128</v>
      </c>
      <c r="V144" s="202">
        <v>108</v>
      </c>
      <c r="W144" s="202">
        <v>94</v>
      </c>
      <c r="X144" s="202">
        <v>68</v>
      </c>
      <c r="Y144" s="202">
        <v>54</v>
      </c>
      <c r="Z144" s="179">
        <v>38</v>
      </c>
    </row>
    <row r="145" spans="1:26" ht="13.5" thickBot="1" x14ac:dyDescent="0.25">
      <c r="A145" s="79">
        <v>0.5</v>
      </c>
      <c r="B145" s="97">
        <f t="shared" si="47"/>
        <v>20.744462821905785</v>
      </c>
      <c r="C145" s="97">
        <f t="shared" si="48"/>
        <v>30.817852205758392</v>
      </c>
      <c r="D145" s="97">
        <f t="shared" si="49"/>
        <v>37.141185962524034</v>
      </c>
      <c r="E145" s="97">
        <f t="shared" si="50"/>
        <v>40.2416071091926</v>
      </c>
      <c r="F145" s="97">
        <f t="shared" si="51"/>
        <v>45.532004560368136</v>
      </c>
      <c r="G145" s="97">
        <f t="shared" si="52"/>
        <v>49.391227035090942</v>
      </c>
      <c r="H145" s="97">
        <f t="shared" si="53"/>
        <v>50.303923828177147</v>
      </c>
      <c r="I145" s="97">
        <f t="shared" si="54"/>
        <v>48.534618080317841</v>
      </c>
      <c r="J145" s="97">
        <f t="shared" si="55"/>
        <v>47.369607876688981</v>
      </c>
      <c r="K145" s="97">
        <f t="shared" si="56"/>
        <v>47.88282606062382</v>
      </c>
      <c r="L145" s="97">
        <f t="shared" si="57"/>
        <v>42.368309456694448</v>
      </c>
      <c r="O145" s="203">
        <v>0.02</v>
      </c>
      <c r="P145" s="204">
        <f>P144*1.04</f>
        <v>402.48</v>
      </c>
      <c r="Q145" s="205">
        <f>Q144*1.05</f>
        <v>307.65000000000003</v>
      </c>
      <c r="R145" s="205">
        <f t="shared" ref="R145:X145" si="58">R144*1.06</f>
        <v>249.10000000000002</v>
      </c>
      <c r="S145" s="205">
        <f t="shared" si="58"/>
        <v>212</v>
      </c>
      <c r="T145" s="205">
        <f t="shared" si="58"/>
        <v>165.36</v>
      </c>
      <c r="U145" s="205">
        <f t="shared" si="58"/>
        <v>135.68</v>
      </c>
      <c r="V145" s="205">
        <f t="shared" si="58"/>
        <v>114.48</v>
      </c>
      <c r="W145" s="205">
        <f t="shared" si="58"/>
        <v>99.64</v>
      </c>
      <c r="X145" s="205">
        <f t="shared" si="58"/>
        <v>72.08</v>
      </c>
      <c r="Y145" s="205">
        <f>Y144*1.07</f>
        <v>57.78</v>
      </c>
      <c r="Z145" s="206">
        <f>Z144*1.07</f>
        <v>40.660000000000004</v>
      </c>
    </row>
    <row r="146" spans="1:26" ht="13.5" thickBot="1" x14ac:dyDescent="0.25">
      <c r="A146" s="78">
        <v>0.2</v>
      </c>
      <c r="B146" s="97">
        <f t="shared" si="47"/>
        <v>14.039096562168883</v>
      </c>
      <c r="C146" s="97">
        <f t="shared" si="48"/>
        <v>21.725405617021273</v>
      </c>
      <c r="D146" s="97">
        <f t="shared" si="49"/>
        <v>26.747142373811734</v>
      </c>
      <c r="E146" s="97">
        <f t="shared" si="50"/>
        <v>29.486473994309826</v>
      </c>
      <c r="F146" s="97">
        <f t="shared" si="51"/>
        <v>34.090306280184073</v>
      </c>
      <c r="G146" s="97">
        <f t="shared" si="52"/>
        <v>37.978034425133181</v>
      </c>
      <c r="H146" s="97">
        <f t="shared" si="53"/>
        <v>38.917478203427549</v>
      </c>
      <c r="I146" s="97">
        <f t="shared" si="54"/>
        <v>37.173318640988015</v>
      </c>
      <c r="J146" s="97">
        <f t="shared" si="55"/>
        <v>36.944241453738556</v>
      </c>
      <c r="K146" s="97">
        <f t="shared" si="56"/>
        <v>35.040293117001042</v>
      </c>
      <c r="L146" s="97">
        <f t="shared" si="57"/>
        <v>31.919011130456916</v>
      </c>
      <c r="O146" s="22">
        <v>0.01</v>
      </c>
      <c r="P146" s="207">
        <f>P144*1.09</f>
        <v>421.83000000000004</v>
      </c>
      <c r="Q146" s="208">
        <f>Q144*1.1</f>
        <v>322.3</v>
      </c>
      <c r="R146" s="208">
        <f>R144*1.11</f>
        <v>260.85000000000002</v>
      </c>
      <c r="S146" s="208">
        <f>S144*1.11</f>
        <v>222.00000000000003</v>
      </c>
      <c r="T146" s="208">
        <f>T144*1.11</f>
        <v>173.16000000000003</v>
      </c>
      <c r="U146" s="208">
        <f>U144*1.12</f>
        <v>143.36000000000001</v>
      </c>
      <c r="V146" s="208">
        <f>V144*1.12</f>
        <v>120.96000000000001</v>
      </c>
      <c r="W146" s="208">
        <f>W144*1.12</f>
        <v>105.28000000000002</v>
      </c>
      <c r="X146" s="208">
        <f>X144*1.13</f>
        <v>76.839999999999989</v>
      </c>
      <c r="Y146" s="208">
        <f>Y144*1.13</f>
        <v>61.019999999999996</v>
      </c>
      <c r="Z146" s="209">
        <f>Z144*1.14</f>
        <v>43.319999999999993</v>
      </c>
    </row>
    <row r="147" spans="1:26" ht="13.5" thickBot="1" x14ac:dyDescent="0.25">
      <c r="A147" s="13">
        <v>0.1</v>
      </c>
      <c r="B147" s="97">
        <f t="shared" si="47"/>
        <v>9.6947747600858207</v>
      </c>
      <c r="C147" s="97">
        <f t="shared" si="48"/>
        <v>15.416361045244502</v>
      </c>
      <c r="D147" s="97">
        <f t="shared" si="49"/>
        <v>18.81484595084709</v>
      </c>
      <c r="E147" s="97">
        <f t="shared" si="50"/>
        <v>20.523863065240857</v>
      </c>
      <c r="F147" s="97">
        <f t="shared" si="51"/>
        <v>24.728916778215297</v>
      </c>
      <c r="G147" s="97">
        <f t="shared" si="52"/>
        <v>27.907570357523408</v>
      </c>
      <c r="H147" s="97">
        <f t="shared" si="53"/>
        <v>29.157667667927878</v>
      </c>
      <c r="I147" s="97">
        <f t="shared" si="54"/>
        <v>27.705569108213155</v>
      </c>
      <c r="J147" s="97">
        <f t="shared" si="55"/>
        <v>29.125216636525749</v>
      </c>
      <c r="K147" s="97">
        <f t="shared" si="56"/>
        <v>27.013710027236812</v>
      </c>
      <c r="L147" s="97">
        <f t="shared" si="57"/>
        <v>25.649432134714392</v>
      </c>
    </row>
    <row r="148" spans="1:26" ht="13.5" thickBot="1" x14ac:dyDescent="0.25">
      <c r="A148" s="13">
        <v>0.05</v>
      </c>
      <c r="B148" s="97">
        <f t="shared" si="47"/>
        <v>5.6337782929212121</v>
      </c>
      <c r="C148" s="97">
        <f t="shared" si="48"/>
        <v>9.6639968768597928</v>
      </c>
      <c r="D148" s="97">
        <f t="shared" si="49"/>
        <v>12.250186842186697</v>
      </c>
      <c r="E148" s="97">
        <f t="shared" si="50"/>
        <v>13.353774321985689</v>
      </c>
      <c r="F148" s="97">
        <f t="shared" si="51"/>
        <v>15.887604470800319</v>
      </c>
      <c r="G148" s="97">
        <f t="shared" si="52"/>
        <v>19.17983483226163</v>
      </c>
      <c r="H148" s="97">
        <f t="shared" si="53"/>
        <v>21.024492221678145</v>
      </c>
      <c r="I148" s="97">
        <f t="shared" si="54"/>
        <v>20.131369481993289</v>
      </c>
      <c r="J148" s="97">
        <f t="shared" si="55"/>
        <v>22.60936262218172</v>
      </c>
      <c r="K148" s="97">
        <f t="shared" si="56"/>
        <v>20.592443555425398</v>
      </c>
      <c r="L148" s="97">
        <f t="shared" si="57"/>
        <v>19.379853138971871</v>
      </c>
      <c r="N148" s="173">
        <v>14</v>
      </c>
      <c r="O148" s="49" t="s">
        <v>129</v>
      </c>
      <c r="R148" s="197" t="s">
        <v>117</v>
      </c>
    </row>
    <row r="149" spans="1:26" ht="13.5" thickBot="1" x14ac:dyDescent="0.25">
      <c r="A149" s="13">
        <v>3.3000000000000002E-2</v>
      </c>
      <c r="B149" s="97">
        <f t="shared" si="47"/>
        <v>3.7449427267981421</v>
      </c>
      <c r="C149" s="97">
        <f t="shared" si="48"/>
        <v>6.3239144565073904</v>
      </c>
      <c r="D149" s="97">
        <f t="shared" si="49"/>
        <v>7.6002199735522478</v>
      </c>
      <c r="E149" s="97">
        <f t="shared" si="50"/>
        <v>8.6932166388698207</v>
      </c>
      <c r="F149" s="97">
        <f t="shared" si="51"/>
        <v>10.686832525262126</v>
      </c>
      <c r="G149" s="97">
        <f t="shared" si="52"/>
        <v>12.466192120521757</v>
      </c>
      <c r="H149" s="97">
        <f t="shared" si="53"/>
        <v>14.51795186467837</v>
      </c>
      <c r="I149" s="97">
        <f t="shared" si="54"/>
        <v>12.557169855773395</v>
      </c>
      <c r="J149" s="97">
        <f t="shared" si="55"/>
        <v>13.487167002100103</v>
      </c>
      <c r="K149" s="97">
        <f t="shared" si="56"/>
        <v>12.565860465661157</v>
      </c>
      <c r="L149" s="97">
        <f t="shared" si="57"/>
        <v>13.110274143229363</v>
      </c>
      <c r="O149" s="174" t="s">
        <v>52</v>
      </c>
      <c r="P149" s="175">
        <v>5</v>
      </c>
      <c r="Q149" s="176">
        <v>10</v>
      </c>
      <c r="R149" s="176">
        <v>15</v>
      </c>
      <c r="S149" s="176">
        <v>20</v>
      </c>
      <c r="T149" s="176">
        <v>30</v>
      </c>
      <c r="U149" s="176">
        <v>40</v>
      </c>
      <c r="V149" s="176">
        <v>50</v>
      </c>
      <c r="W149" s="176">
        <v>60</v>
      </c>
      <c r="X149" s="176">
        <v>90</v>
      </c>
      <c r="Y149" s="176">
        <v>120</v>
      </c>
      <c r="Z149" s="177">
        <v>180</v>
      </c>
    </row>
    <row r="150" spans="1:26" ht="13.5" thickBot="1" x14ac:dyDescent="0.25">
      <c r="A150" s="13">
        <v>0.02</v>
      </c>
      <c r="B150" s="97">
        <f t="shared" si="47"/>
        <v>2.8005249437366064</v>
      </c>
      <c r="C150" s="97">
        <f t="shared" si="48"/>
        <v>4.0971928429391182</v>
      </c>
      <c r="D150" s="97">
        <f t="shared" si="49"/>
        <v>5.4120002706654482</v>
      </c>
      <c r="E150" s="97">
        <f t="shared" si="50"/>
        <v>6.1836855787304881</v>
      </c>
      <c r="F150" s="97">
        <f t="shared" si="51"/>
        <v>8.0864465524929958</v>
      </c>
      <c r="G150" s="97">
        <f t="shared" si="52"/>
        <v>9.1093707646518478</v>
      </c>
      <c r="H150" s="97">
        <f t="shared" si="53"/>
        <v>9.6380465969285396</v>
      </c>
      <c r="I150" s="97">
        <f t="shared" si="54"/>
        <v>7.8232950893859705</v>
      </c>
      <c r="J150" s="97">
        <f t="shared" si="55"/>
        <v>9.5776545934936799</v>
      </c>
      <c r="K150" s="97">
        <f t="shared" si="56"/>
        <v>7.7499106118026102</v>
      </c>
      <c r="L150" s="97">
        <f t="shared" si="57"/>
        <v>6.8406951474868283</v>
      </c>
      <c r="O150" s="198">
        <v>1</v>
      </c>
      <c r="P150" s="201">
        <v>293</v>
      </c>
      <c r="Q150" s="88">
        <v>200</v>
      </c>
      <c r="R150" s="88">
        <v>153</v>
      </c>
      <c r="S150" s="88">
        <v>125</v>
      </c>
      <c r="T150" s="88">
        <v>92</v>
      </c>
      <c r="U150" s="88">
        <v>74</v>
      </c>
      <c r="V150" s="88">
        <v>61</v>
      </c>
      <c r="W150" s="88">
        <v>52</v>
      </c>
      <c r="X150" s="88">
        <v>37</v>
      </c>
      <c r="Y150" s="88">
        <v>28</v>
      </c>
      <c r="Z150" s="179">
        <v>19</v>
      </c>
    </row>
    <row r="151" spans="1:26" ht="13.5" thickBot="1" x14ac:dyDescent="0.25">
      <c r="A151" s="14">
        <v>0.01</v>
      </c>
      <c r="B151" s="97">
        <v>0</v>
      </c>
      <c r="C151" s="97">
        <v>0</v>
      </c>
      <c r="D151" s="97">
        <v>0</v>
      </c>
      <c r="E151" s="97">
        <v>0</v>
      </c>
      <c r="F151" s="97">
        <v>0</v>
      </c>
      <c r="G151" s="97">
        <v>0</v>
      </c>
      <c r="H151" s="97">
        <v>0</v>
      </c>
      <c r="I151" s="97">
        <v>0</v>
      </c>
      <c r="J151" s="97">
        <v>0</v>
      </c>
      <c r="K151" s="97">
        <v>0</v>
      </c>
      <c r="L151" s="97">
        <v>0</v>
      </c>
      <c r="O151" s="178">
        <v>0.5</v>
      </c>
      <c r="P151" s="201">
        <v>355</v>
      </c>
      <c r="Q151" s="88">
        <v>249</v>
      </c>
      <c r="R151" s="88">
        <v>194</v>
      </c>
      <c r="S151" s="88">
        <v>160</v>
      </c>
      <c r="T151" s="88">
        <v>120</v>
      </c>
      <c r="U151" s="88">
        <v>96</v>
      </c>
      <c r="V151" s="88">
        <v>80</v>
      </c>
      <c r="W151" s="88">
        <v>69</v>
      </c>
      <c r="X151" s="88">
        <v>49</v>
      </c>
      <c r="Y151" s="88">
        <v>38</v>
      </c>
      <c r="Z151" s="179">
        <v>26</v>
      </c>
    </row>
    <row r="152" spans="1:26" x14ac:dyDescent="0.2">
      <c r="A152" s="63"/>
      <c r="B152" s="63"/>
      <c r="C152" s="63"/>
      <c r="D152" s="63"/>
      <c r="E152" s="63"/>
      <c r="F152" s="63"/>
      <c r="G152" s="63"/>
      <c r="H152" s="63"/>
      <c r="I152" s="63"/>
      <c r="O152" s="178">
        <v>0.2</v>
      </c>
      <c r="P152" s="201">
        <v>423</v>
      </c>
      <c r="Q152" s="88">
        <v>307</v>
      </c>
      <c r="R152" s="88">
        <v>245</v>
      </c>
      <c r="S152" s="88">
        <v>205</v>
      </c>
      <c r="T152" s="88">
        <v>156</v>
      </c>
      <c r="U152" s="88">
        <v>127</v>
      </c>
      <c r="V152" s="88">
        <v>108</v>
      </c>
      <c r="W152" s="88">
        <v>93</v>
      </c>
      <c r="X152" s="88">
        <v>68</v>
      </c>
      <c r="Y152" s="88">
        <v>54</v>
      </c>
      <c r="Z152" s="179">
        <v>38</v>
      </c>
    </row>
    <row r="153" spans="1:26" x14ac:dyDescent="0.2">
      <c r="O153" s="178">
        <v>0.1</v>
      </c>
      <c r="P153" s="201">
        <v>482</v>
      </c>
      <c r="Q153" s="88">
        <v>353</v>
      </c>
      <c r="R153" s="88">
        <v>284</v>
      </c>
      <c r="S153" s="88">
        <v>240</v>
      </c>
      <c r="T153" s="88">
        <v>185</v>
      </c>
      <c r="U153" s="88">
        <v>153</v>
      </c>
      <c r="V153" s="88">
        <v>131</v>
      </c>
      <c r="W153" s="88">
        <v>115</v>
      </c>
      <c r="X153" s="88">
        <v>84</v>
      </c>
      <c r="Y153" s="88">
        <v>68</v>
      </c>
      <c r="Z153" s="179">
        <v>48</v>
      </c>
    </row>
    <row r="154" spans="1:26" x14ac:dyDescent="0.2">
      <c r="O154" s="178">
        <v>0.05</v>
      </c>
      <c r="P154" s="201">
        <v>540</v>
      </c>
      <c r="Q154" s="88">
        <v>396</v>
      </c>
      <c r="R154" s="88">
        <v>320</v>
      </c>
      <c r="S154" s="88">
        <v>270</v>
      </c>
      <c r="T154" s="88">
        <v>211</v>
      </c>
      <c r="U154" s="88">
        <v>176</v>
      </c>
      <c r="V154" s="88">
        <v>151</v>
      </c>
      <c r="W154" s="88">
        <v>133</v>
      </c>
      <c r="X154" s="88">
        <v>98</v>
      </c>
      <c r="Y154" s="88">
        <v>80</v>
      </c>
      <c r="Z154" s="179">
        <v>58</v>
      </c>
    </row>
    <row r="155" spans="1:26" ht="13.5" thickBot="1" x14ac:dyDescent="0.25">
      <c r="O155" s="178">
        <v>3.3000000000000002E-2</v>
      </c>
      <c r="P155" s="201">
        <v>582</v>
      </c>
      <c r="Q155" s="202">
        <v>426</v>
      </c>
      <c r="R155" s="202">
        <v>344</v>
      </c>
      <c r="S155" s="202">
        <v>293</v>
      </c>
      <c r="T155" s="202">
        <v>231</v>
      </c>
      <c r="U155" s="202">
        <v>193</v>
      </c>
      <c r="V155" s="202">
        <v>166</v>
      </c>
      <c r="W155" s="202">
        <v>147</v>
      </c>
      <c r="X155" s="202">
        <v>110</v>
      </c>
      <c r="Y155" s="202">
        <v>90</v>
      </c>
      <c r="Z155" s="179">
        <v>66</v>
      </c>
    </row>
    <row r="156" spans="1:26" ht="13.5" thickBot="1" x14ac:dyDescent="0.25">
      <c r="J156" s="73" t="s">
        <v>52</v>
      </c>
      <c r="K156" s="65" t="s">
        <v>53</v>
      </c>
      <c r="L156" s="66"/>
      <c r="O156" s="218">
        <v>0.02</v>
      </c>
      <c r="P156" s="188">
        <v>618</v>
      </c>
      <c r="Q156" s="189">
        <v>449</v>
      </c>
      <c r="R156" s="189">
        <v>367</v>
      </c>
      <c r="S156" s="189">
        <v>313</v>
      </c>
      <c r="T156" s="189">
        <v>250</v>
      </c>
      <c r="U156" s="189">
        <v>210</v>
      </c>
      <c r="V156" s="189">
        <v>182</v>
      </c>
      <c r="W156" s="189">
        <v>162</v>
      </c>
      <c r="X156" s="189">
        <v>122</v>
      </c>
      <c r="Y156" s="189">
        <v>100</v>
      </c>
      <c r="Z156" s="190">
        <v>75</v>
      </c>
    </row>
    <row r="157" spans="1:26" ht="13.5" thickBot="1" x14ac:dyDescent="0.25">
      <c r="J157" s="64">
        <v>0.01</v>
      </c>
      <c r="K157" s="72" t="s">
        <v>61</v>
      </c>
      <c r="L157" s="68"/>
      <c r="O157" s="180">
        <v>0.01</v>
      </c>
      <c r="P157" s="217">
        <f t="shared" ref="P157:V157" si="59">P156*1.05</f>
        <v>648.9</v>
      </c>
      <c r="Q157" s="217">
        <f t="shared" si="59"/>
        <v>471.45000000000005</v>
      </c>
      <c r="R157" s="217">
        <f t="shared" si="59"/>
        <v>385.35</v>
      </c>
      <c r="S157" s="217">
        <f t="shared" si="59"/>
        <v>328.65000000000003</v>
      </c>
      <c r="T157" s="217">
        <f t="shared" si="59"/>
        <v>262.5</v>
      </c>
      <c r="U157" s="217">
        <f t="shared" si="59"/>
        <v>220.5</v>
      </c>
      <c r="V157" s="217">
        <f t="shared" si="59"/>
        <v>191.1</v>
      </c>
      <c r="W157" s="217">
        <f>W156*1.06</f>
        <v>171.72</v>
      </c>
      <c r="X157" s="217">
        <f>X156*1.06</f>
        <v>129.32</v>
      </c>
      <c r="Y157" s="217">
        <f>Y156*1.06</f>
        <v>106</v>
      </c>
      <c r="Z157" s="217">
        <f>Z156*1.07</f>
        <v>80.25</v>
      </c>
    </row>
    <row r="158" spans="1:26" x14ac:dyDescent="0.2">
      <c r="J158" s="69">
        <v>0.02</v>
      </c>
      <c r="K158" s="71" t="s">
        <v>60</v>
      </c>
      <c r="L158" s="67"/>
      <c r="O158" s="219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</row>
    <row r="159" spans="1:26" ht="13.5" thickBot="1" x14ac:dyDescent="0.25">
      <c r="J159" s="69">
        <v>3.3000000000000002E-2</v>
      </c>
      <c r="K159" s="71" t="s">
        <v>59</v>
      </c>
      <c r="L159" s="70"/>
      <c r="N159" s="173">
        <v>15</v>
      </c>
      <c r="O159" s="49" t="s">
        <v>130</v>
      </c>
      <c r="R159" s="197" t="s">
        <v>117</v>
      </c>
    </row>
    <row r="160" spans="1:26" ht="13.5" thickBot="1" x14ac:dyDescent="0.25">
      <c r="J160" s="69">
        <v>0.05</v>
      </c>
      <c r="K160" s="71" t="s">
        <v>58</v>
      </c>
      <c r="L160" s="70"/>
      <c r="O160" s="174" t="s">
        <v>52</v>
      </c>
      <c r="P160" s="175">
        <v>5</v>
      </c>
      <c r="Q160" s="176">
        <v>10</v>
      </c>
      <c r="R160" s="176">
        <v>15</v>
      </c>
      <c r="S160" s="176">
        <v>20</v>
      </c>
      <c r="T160" s="176">
        <v>30</v>
      </c>
      <c r="U160" s="176">
        <v>40</v>
      </c>
      <c r="V160" s="176">
        <v>50</v>
      </c>
      <c r="W160" s="176">
        <v>60</v>
      </c>
      <c r="X160" s="176">
        <v>90</v>
      </c>
      <c r="Y160" s="176">
        <v>120</v>
      </c>
      <c r="Z160" s="177">
        <v>180</v>
      </c>
    </row>
    <row r="161" spans="1:26" x14ac:dyDescent="0.2">
      <c r="J161" s="69">
        <v>0.1</v>
      </c>
      <c r="K161" s="71" t="s">
        <v>57</v>
      </c>
      <c r="L161" s="70"/>
      <c r="O161" s="198">
        <v>1</v>
      </c>
      <c r="P161" s="201">
        <v>228</v>
      </c>
      <c r="Q161" s="88">
        <v>146</v>
      </c>
      <c r="R161" s="88">
        <v>112</v>
      </c>
      <c r="S161" s="88">
        <v>90</v>
      </c>
      <c r="T161" s="88">
        <v>66</v>
      </c>
      <c r="U161" s="88">
        <v>52</v>
      </c>
      <c r="V161" s="88">
        <v>43</v>
      </c>
      <c r="W161" s="88">
        <v>37</v>
      </c>
      <c r="X161" s="88">
        <v>26</v>
      </c>
      <c r="Y161" s="88">
        <v>20</v>
      </c>
      <c r="Z161" s="179">
        <v>14</v>
      </c>
    </row>
    <row r="162" spans="1:26" x14ac:dyDescent="0.2">
      <c r="J162" s="76">
        <v>0.2</v>
      </c>
      <c r="K162" s="74" t="s">
        <v>56</v>
      </c>
      <c r="L162" s="70"/>
      <c r="O162" s="178">
        <v>0.5</v>
      </c>
      <c r="P162" s="201">
        <v>277</v>
      </c>
      <c r="Q162" s="88">
        <v>182</v>
      </c>
      <c r="R162" s="88">
        <v>138</v>
      </c>
      <c r="S162" s="88">
        <v>114</v>
      </c>
      <c r="T162" s="88">
        <v>84</v>
      </c>
      <c r="U162" s="88">
        <v>68</v>
      </c>
      <c r="V162" s="88">
        <v>57</v>
      </c>
      <c r="W162" s="88">
        <v>49</v>
      </c>
      <c r="X162" s="88">
        <v>35</v>
      </c>
      <c r="Y162" s="88">
        <v>27</v>
      </c>
      <c r="Z162" s="179">
        <v>18</v>
      </c>
    </row>
    <row r="163" spans="1:26" x14ac:dyDescent="0.2">
      <c r="J163" s="77">
        <v>0.5</v>
      </c>
      <c r="K163" s="75" t="s">
        <v>55</v>
      </c>
      <c r="L163" s="70"/>
      <c r="O163" s="178">
        <v>0.2</v>
      </c>
      <c r="P163" s="201">
        <v>338</v>
      </c>
      <c r="Q163" s="88">
        <v>233</v>
      </c>
      <c r="R163" s="88">
        <v>181</v>
      </c>
      <c r="S163" s="88">
        <v>149</v>
      </c>
      <c r="T163" s="88">
        <v>112</v>
      </c>
      <c r="U163" s="88">
        <v>89</v>
      </c>
      <c r="V163" s="88">
        <v>74</v>
      </c>
      <c r="W163" s="88">
        <v>64</v>
      </c>
      <c r="X163" s="88">
        <v>46</v>
      </c>
      <c r="Y163" s="88">
        <v>35</v>
      </c>
      <c r="Z163" s="179">
        <v>24</v>
      </c>
    </row>
    <row r="164" spans="1:26" ht="13.5" thickBot="1" x14ac:dyDescent="0.25">
      <c r="J164" s="64">
        <v>1</v>
      </c>
      <c r="K164" s="72" t="s">
        <v>54</v>
      </c>
      <c r="L164" s="23"/>
      <c r="O164" s="178">
        <v>0.1</v>
      </c>
      <c r="P164" s="201">
        <v>400</v>
      </c>
      <c r="Q164" s="88">
        <v>276</v>
      </c>
      <c r="R164" s="88">
        <v>214</v>
      </c>
      <c r="S164" s="88">
        <v>175</v>
      </c>
      <c r="T164" s="88">
        <v>130</v>
      </c>
      <c r="U164" s="88">
        <v>103</v>
      </c>
      <c r="V164" s="88">
        <v>86</v>
      </c>
      <c r="W164" s="88">
        <v>75</v>
      </c>
      <c r="X164" s="88">
        <v>52</v>
      </c>
      <c r="Y164" s="88">
        <v>41</v>
      </c>
      <c r="Z164" s="179">
        <v>28</v>
      </c>
    </row>
    <row r="165" spans="1:26" x14ac:dyDescent="0.2">
      <c r="J165" s="99"/>
      <c r="K165" s="100"/>
      <c r="L165" s="21"/>
      <c r="O165" s="178">
        <v>0.05</v>
      </c>
      <c r="P165" s="201">
        <v>443</v>
      </c>
      <c r="Q165" s="88">
        <v>300</v>
      </c>
      <c r="R165" s="88">
        <v>235</v>
      </c>
      <c r="S165" s="88">
        <v>192</v>
      </c>
      <c r="T165" s="88">
        <v>143</v>
      </c>
      <c r="U165" s="88">
        <v>116</v>
      </c>
      <c r="V165" s="88">
        <v>96</v>
      </c>
      <c r="W165" s="88">
        <v>84</v>
      </c>
      <c r="X165" s="88">
        <v>59</v>
      </c>
      <c r="Y165" s="88">
        <v>46</v>
      </c>
      <c r="Z165" s="179">
        <v>32</v>
      </c>
    </row>
    <row r="166" spans="1:26" x14ac:dyDescent="0.2">
      <c r="J166" s="99"/>
      <c r="K166" s="100"/>
      <c r="L166" s="21"/>
      <c r="O166" s="178">
        <v>3.3000000000000002E-2</v>
      </c>
      <c r="P166" s="201">
        <v>490</v>
      </c>
      <c r="Q166" s="88">
        <v>330</v>
      </c>
      <c r="R166" s="88">
        <v>254</v>
      </c>
      <c r="S166" s="88">
        <v>209</v>
      </c>
      <c r="T166" s="88">
        <v>156</v>
      </c>
      <c r="U166" s="88">
        <v>125</v>
      </c>
      <c r="V166" s="88">
        <v>104</v>
      </c>
      <c r="W166" s="88">
        <v>90</v>
      </c>
      <c r="X166" s="88">
        <v>64</v>
      </c>
      <c r="Y166" s="88">
        <v>50</v>
      </c>
      <c r="Z166" s="179">
        <v>35</v>
      </c>
    </row>
    <row r="167" spans="1:26" x14ac:dyDescent="0.2">
      <c r="J167" s="99"/>
      <c r="K167" s="100"/>
      <c r="L167" s="21"/>
      <c r="O167" s="178">
        <v>0.02</v>
      </c>
      <c r="P167" s="201">
        <v>506</v>
      </c>
      <c r="Q167" s="88">
        <v>344</v>
      </c>
      <c r="R167" s="88">
        <v>265</v>
      </c>
      <c r="S167" s="88">
        <v>216</v>
      </c>
      <c r="T167" s="88">
        <v>162</v>
      </c>
      <c r="U167" s="88">
        <v>131</v>
      </c>
      <c r="V167" s="88">
        <v>110</v>
      </c>
      <c r="W167" s="88">
        <v>94</v>
      </c>
      <c r="X167" s="88">
        <v>67</v>
      </c>
      <c r="Y167" s="88">
        <v>52</v>
      </c>
      <c r="Z167" s="179">
        <v>36</v>
      </c>
    </row>
    <row r="168" spans="1:26" ht="13.5" thickBot="1" x14ac:dyDescent="0.25">
      <c r="J168" s="99"/>
      <c r="K168" s="100"/>
      <c r="L168" s="21"/>
      <c r="O168" s="180">
        <v>0.01</v>
      </c>
      <c r="P168" s="211">
        <v>552</v>
      </c>
      <c r="Q168" s="212">
        <v>368</v>
      </c>
      <c r="R168" s="212">
        <v>280</v>
      </c>
      <c r="S168" s="212">
        <v>230</v>
      </c>
      <c r="T168" s="212">
        <v>171</v>
      </c>
      <c r="U168" s="212">
        <v>136</v>
      </c>
      <c r="V168" s="212">
        <v>114</v>
      </c>
      <c r="W168" s="212">
        <v>98</v>
      </c>
      <c r="X168" s="212">
        <v>70</v>
      </c>
      <c r="Y168" s="212">
        <v>55</v>
      </c>
      <c r="Z168" s="213">
        <v>39</v>
      </c>
    </row>
    <row r="170" spans="1:26" ht="13.5" thickBot="1" x14ac:dyDescent="0.25">
      <c r="A170" t="s">
        <v>82</v>
      </c>
      <c r="N170" s="173">
        <v>16</v>
      </c>
      <c r="O170" s="49" t="s">
        <v>131</v>
      </c>
      <c r="R170" s="197" t="s">
        <v>117</v>
      </c>
    </row>
    <row r="171" spans="1:26" ht="13.5" thickBot="1" x14ac:dyDescent="0.25">
      <c r="B171" t="s">
        <v>83</v>
      </c>
      <c r="O171" s="174" t="s">
        <v>52</v>
      </c>
      <c r="P171" s="175">
        <v>5</v>
      </c>
      <c r="Q171" s="176">
        <v>10</v>
      </c>
      <c r="R171" s="176">
        <v>15</v>
      </c>
      <c r="S171" s="176">
        <v>20</v>
      </c>
      <c r="T171" s="176">
        <v>30</v>
      </c>
      <c r="U171" s="176">
        <v>40</v>
      </c>
      <c r="V171" s="176">
        <v>50</v>
      </c>
      <c r="W171" s="176">
        <v>60</v>
      </c>
      <c r="X171" s="176">
        <v>90</v>
      </c>
      <c r="Y171" s="176">
        <v>120</v>
      </c>
      <c r="Z171" s="177">
        <v>180</v>
      </c>
    </row>
    <row r="172" spans="1:26" ht="13.5" thickBot="1" x14ac:dyDescent="0.25">
      <c r="A172" s="8"/>
      <c r="B172" s="9">
        <v>5</v>
      </c>
      <c r="C172" s="10">
        <v>10</v>
      </c>
      <c r="D172" s="10">
        <v>15</v>
      </c>
      <c r="E172" s="10">
        <v>20</v>
      </c>
      <c r="F172" s="10">
        <v>30</v>
      </c>
      <c r="G172" s="10">
        <v>40</v>
      </c>
      <c r="H172" s="10">
        <v>50</v>
      </c>
      <c r="I172" s="10">
        <v>60</v>
      </c>
      <c r="J172" s="10">
        <v>90</v>
      </c>
      <c r="K172" s="10">
        <v>120</v>
      </c>
      <c r="L172" s="11">
        <v>180</v>
      </c>
      <c r="O172" s="198">
        <v>1</v>
      </c>
      <c r="P172" s="201">
        <v>250</v>
      </c>
      <c r="Q172" s="88">
        <v>173</v>
      </c>
      <c r="R172" s="88">
        <v>134</v>
      </c>
      <c r="S172" s="88">
        <v>111</v>
      </c>
      <c r="T172" s="88">
        <v>84</v>
      </c>
      <c r="U172" s="88">
        <v>68</v>
      </c>
      <c r="V172" s="88">
        <v>57</v>
      </c>
      <c r="W172" s="88">
        <v>50</v>
      </c>
      <c r="X172" s="88">
        <v>36</v>
      </c>
      <c r="Y172" s="88">
        <v>28</v>
      </c>
      <c r="Z172" s="179">
        <v>20</v>
      </c>
    </row>
    <row r="173" spans="1:26" ht="13.5" thickBot="1" x14ac:dyDescent="0.25">
      <c r="A173" s="12">
        <v>1</v>
      </c>
      <c r="B173" s="94">
        <f t="shared" ref="B173:L173" si="60">B144/0.25</f>
        <v>101.86620694885386</v>
      </c>
      <c r="C173" s="94">
        <f t="shared" si="60"/>
        <v>147.76534657228456</v>
      </c>
      <c r="D173" s="94">
        <f t="shared" si="60"/>
        <v>175.9174901361811</v>
      </c>
      <c r="E173" s="94">
        <f t="shared" si="60"/>
        <v>191.08080115844211</v>
      </c>
      <c r="F173" s="94">
        <f t="shared" si="60"/>
        <v>215.41295869291716</v>
      </c>
      <c r="G173" s="94">
        <f t="shared" si="60"/>
        <v>232.47585024141102</v>
      </c>
      <c r="H173" s="94">
        <f t="shared" si="60"/>
        <v>237.00166727620737</v>
      </c>
      <c r="I173" s="94">
        <f t="shared" si="60"/>
        <v>232.00947045237078</v>
      </c>
      <c r="J173" s="94">
        <f t="shared" si="60"/>
        <v>231.17989719855763</v>
      </c>
      <c r="K173" s="94">
        <f t="shared" si="60"/>
        <v>217.21637012974091</v>
      </c>
      <c r="L173" s="98">
        <f t="shared" si="60"/>
        <v>194.55155380974784</v>
      </c>
      <c r="O173" s="178">
        <v>0.5</v>
      </c>
      <c r="P173" s="201">
        <v>287</v>
      </c>
      <c r="Q173" s="88">
        <v>202</v>
      </c>
      <c r="R173" s="88">
        <v>163</v>
      </c>
      <c r="S173" s="88">
        <v>137</v>
      </c>
      <c r="T173" s="88">
        <v>103</v>
      </c>
      <c r="U173" s="88">
        <v>84</v>
      </c>
      <c r="V173" s="88">
        <v>71</v>
      </c>
      <c r="W173" s="88">
        <v>61</v>
      </c>
      <c r="X173" s="88">
        <v>44</v>
      </c>
      <c r="Y173" s="88">
        <v>34</v>
      </c>
      <c r="Z173" s="179">
        <v>24</v>
      </c>
    </row>
    <row r="174" spans="1:26" ht="13.5" thickBot="1" x14ac:dyDescent="0.25">
      <c r="A174" s="79">
        <v>0.5</v>
      </c>
      <c r="B174" s="94">
        <f t="shared" ref="B174:L174" si="61">B145/0.25</f>
        <v>82.977851287623139</v>
      </c>
      <c r="C174" s="94">
        <f t="shared" si="61"/>
        <v>123.27140882303357</v>
      </c>
      <c r="D174" s="94">
        <f t="shared" si="61"/>
        <v>148.56474385009614</v>
      </c>
      <c r="E174" s="94">
        <f t="shared" si="61"/>
        <v>160.9664284367704</v>
      </c>
      <c r="F174" s="94">
        <f t="shared" si="61"/>
        <v>182.12801824147255</v>
      </c>
      <c r="G174" s="94">
        <f t="shared" si="61"/>
        <v>197.56490814036377</v>
      </c>
      <c r="H174" s="94">
        <f t="shared" si="61"/>
        <v>201.21569531270859</v>
      </c>
      <c r="I174" s="94">
        <f t="shared" si="61"/>
        <v>194.13847232127137</v>
      </c>
      <c r="J174" s="94">
        <f t="shared" si="61"/>
        <v>189.47843150675592</v>
      </c>
      <c r="K174" s="94">
        <f t="shared" si="61"/>
        <v>191.53130424249528</v>
      </c>
      <c r="L174" s="98">
        <f t="shared" si="61"/>
        <v>169.47323782677779</v>
      </c>
      <c r="O174" s="178">
        <v>0.2</v>
      </c>
      <c r="P174" s="201">
        <v>350</v>
      </c>
      <c r="Q174" s="88">
        <v>248</v>
      </c>
      <c r="R174" s="88">
        <v>198</v>
      </c>
      <c r="S174" s="88">
        <v>165</v>
      </c>
      <c r="T174" s="88">
        <v>128</v>
      </c>
      <c r="U174" s="88">
        <v>104</v>
      </c>
      <c r="V174" s="88">
        <v>87</v>
      </c>
      <c r="W174" s="202">
        <v>76</v>
      </c>
      <c r="X174" s="88">
        <v>54</v>
      </c>
      <c r="Y174" s="88">
        <v>43</v>
      </c>
      <c r="Z174" s="179">
        <v>30</v>
      </c>
    </row>
    <row r="175" spans="1:26" ht="13.5" thickBot="1" x14ac:dyDescent="0.25">
      <c r="A175" s="78">
        <v>0.2</v>
      </c>
      <c r="B175" s="94">
        <f t="shared" ref="B175:L175" si="62">B146/0.25</f>
        <v>56.156386248675531</v>
      </c>
      <c r="C175" s="94">
        <f t="shared" si="62"/>
        <v>86.901622468085094</v>
      </c>
      <c r="D175" s="94">
        <f t="shared" si="62"/>
        <v>106.98856949524694</v>
      </c>
      <c r="E175" s="94">
        <f t="shared" si="62"/>
        <v>117.9458959772393</v>
      </c>
      <c r="F175" s="94">
        <f t="shared" si="62"/>
        <v>136.36122512073629</v>
      </c>
      <c r="G175" s="94">
        <f t="shared" si="62"/>
        <v>151.91213770053272</v>
      </c>
      <c r="H175" s="94">
        <f t="shared" si="62"/>
        <v>155.6699128137102</v>
      </c>
      <c r="I175" s="94">
        <f t="shared" si="62"/>
        <v>148.69327456395206</v>
      </c>
      <c r="J175" s="94">
        <f t="shared" si="62"/>
        <v>147.77696581495422</v>
      </c>
      <c r="K175" s="94">
        <f t="shared" si="62"/>
        <v>140.16117246800417</v>
      </c>
      <c r="L175" s="98">
        <f t="shared" si="62"/>
        <v>127.67604452182766</v>
      </c>
      <c r="O175" s="178">
        <v>0.1</v>
      </c>
      <c r="P175" s="201">
        <v>390</v>
      </c>
      <c r="Q175" s="88">
        <v>278</v>
      </c>
      <c r="R175" s="88">
        <v>220</v>
      </c>
      <c r="S175" s="88">
        <v>186</v>
      </c>
      <c r="T175" s="88">
        <v>142</v>
      </c>
      <c r="U175" s="88">
        <v>116</v>
      </c>
      <c r="V175" s="88">
        <v>97</v>
      </c>
      <c r="W175" s="88">
        <v>86</v>
      </c>
      <c r="X175" s="88">
        <v>61</v>
      </c>
      <c r="Y175" s="88">
        <v>48</v>
      </c>
      <c r="Z175" s="179">
        <v>34</v>
      </c>
    </row>
    <row r="176" spans="1:26" ht="13.5" thickBot="1" x14ac:dyDescent="0.25">
      <c r="A176" s="13">
        <v>0.1</v>
      </c>
      <c r="B176" s="94">
        <f t="shared" ref="B176:L176" si="63">B147/0.25</f>
        <v>38.779099040343283</v>
      </c>
      <c r="C176" s="94">
        <f t="shared" si="63"/>
        <v>61.665444180978007</v>
      </c>
      <c r="D176" s="94">
        <f t="shared" si="63"/>
        <v>75.25938380338836</v>
      </c>
      <c r="E176" s="94">
        <f t="shared" si="63"/>
        <v>82.095452260963427</v>
      </c>
      <c r="F176" s="94">
        <f t="shared" si="63"/>
        <v>98.915667112861186</v>
      </c>
      <c r="G176" s="94">
        <f t="shared" si="63"/>
        <v>111.63028143009363</v>
      </c>
      <c r="H176" s="94">
        <f t="shared" si="63"/>
        <v>116.63067067171151</v>
      </c>
      <c r="I176" s="94">
        <f t="shared" si="63"/>
        <v>110.82227643285262</v>
      </c>
      <c r="J176" s="94">
        <f t="shared" si="63"/>
        <v>116.500866546103</v>
      </c>
      <c r="K176" s="94">
        <f t="shared" si="63"/>
        <v>108.05484010894725</v>
      </c>
      <c r="L176" s="98">
        <f t="shared" si="63"/>
        <v>102.59772853885757</v>
      </c>
      <c r="O176" s="178">
        <v>0.05</v>
      </c>
      <c r="P176" s="201">
        <v>410</v>
      </c>
      <c r="Q176" s="88">
        <v>304</v>
      </c>
      <c r="R176" s="88">
        <v>242</v>
      </c>
      <c r="S176" s="88">
        <v>202</v>
      </c>
      <c r="T176" s="88">
        <v>156</v>
      </c>
      <c r="U176" s="88">
        <v>128</v>
      </c>
      <c r="V176" s="88">
        <v>108</v>
      </c>
      <c r="W176" s="88">
        <v>92</v>
      </c>
      <c r="X176" s="88">
        <v>67</v>
      </c>
      <c r="Y176" s="88">
        <v>52</v>
      </c>
      <c r="Z176" s="179">
        <v>38</v>
      </c>
    </row>
    <row r="177" spans="1:26" ht="13.5" thickBot="1" x14ac:dyDescent="0.25">
      <c r="A177" s="13">
        <v>0.05</v>
      </c>
      <c r="B177" s="94">
        <f t="shared" ref="B177:L177" si="64">B148/0.25</f>
        <v>22.535113171684849</v>
      </c>
      <c r="C177" s="94">
        <f t="shared" si="64"/>
        <v>38.655987507439171</v>
      </c>
      <c r="D177" s="94">
        <f t="shared" si="64"/>
        <v>49.000747368746786</v>
      </c>
      <c r="E177" s="94">
        <f t="shared" si="64"/>
        <v>53.415097287942757</v>
      </c>
      <c r="F177" s="94">
        <f t="shared" si="64"/>
        <v>63.550417883201277</v>
      </c>
      <c r="G177" s="94">
        <f t="shared" si="64"/>
        <v>76.71933932904652</v>
      </c>
      <c r="H177" s="94">
        <f t="shared" si="64"/>
        <v>84.097968886712579</v>
      </c>
      <c r="I177" s="94">
        <f t="shared" si="64"/>
        <v>80.525477927973157</v>
      </c>
      <c r="J177" s="94">
        <f t="shared" si="64"/>
        <v>90.437450488726881</v>
      </c>
      <c r="K177" s="94">
        <f t="shared" si="64"/>
        <v>82.36977422170159</v>
      </c>
      <c r="L177" s="98">
        <f t="shared" si="64"/>
        <v>77.519412555887484</v>
      </c>
      <c r="O177" s="178">
        <v>3.3000000000000002E-2</v>
      </c>
      <c r="P177" s="201">
        <v>440</v>
      </c>
      <c r="Q177" s="88">
        <v>320</v>
      </c>
      <c r="R177" s="88">
        <v>255</v>
      </c>
      <c r="S177" s="88">
        <v>215</v>
      </c>
      <c r="T177" s="88">
        <v>167</v>
      </c>
      <c r="U177" s="88">
        <v>137</v>
      </c>
      <c r="V177" s="88">
        <v>117</v>
      </c>
      <c r="W177" s="88">
        <v>100</v>
      </c>
      <c r="X177" s="88">
        <v>72</v>
      </c>
      <c r="Y177" s="88">
        <v>56</v>
      </c>
      <c r="Z177" s="179">
        <v>38</v>
      </c>
    </row>
    <row r="178" spans="1:26" ht="13.5" thickBot="1" x14ac:dyDescent="0.25">
      <c r="A178" s="13">
        <v>3.3000000000000002E-2</v>
      </c>
      <c r="B178" s="94">
        <f t="shared" ref="B178:L178" si="65">B149/0.25</f>
        <v>14.979770907192568</v>
      </c>
      <c r="C178" s="94">
        <f t="shared" si="65"/>
        <v>25.295657826029561</v>
      </c>
      <c r="D178" s="94">
        <f t="shared" si="65"/>
        <v>30.400879894208991</v>
      </c>
      <c r="E178" s="94">
        <f t="shared" si="65"/>
        <v>34.772866555479283</v>
      </c>
      <c r="F178" s="94">
        <f t="shared" si="65"/>
        <v>42.747330101048505</v>
      </c>
      <c r="G178" s="94">
        <f t="shared" si="65"/>
        <v>49.86476848208703</v>
      </c>
      <c r="H178" s="94">
        <f t="shared" si="65"/>
        <v>58.071807458713479</v>
      </c>
      <c r="I178" s="94">
        <f t="shared" si="65"/>
        <v>50.228679423093581</v>
      </c>
      <c r="J178" s="94">
        <f t="shared" si="65"/>
        <v>53.948668008400411</v>
      </c>
      <c r="K178" s="94">
        <f t="shared" si="65"/>
        <v>50.263441862644626</v>
      </c>
      <c r="L178" s="98">
        <f t="shared" si="65"/>
        <v>52.441096572917452</v>
      </c>
      <c r="O178" s="180">
        <v>0.02</v>
      </c>
      <c r="P178" s="211">
        <v>463</v>
      </c>
      <c r="Q178" s="212">
        <v>340</v>
      </c>
      <c r="R178" s="212">
        <v>272</v>
      </c>
      <c r="S178" s="212">
        <v>230</v>
      </c>
      <c r="T178" s="212">
        <v>177</v>
      </c>
      <c r="U178" s="212">
        <v>145</v>
      </c>
      <c r="V178" s="212">
        <v>123</v>
      </c>
      <c r="W178" s="212">
        <v>107</v>
      </c>
      <c r="X178" s="212">
        <v>77</v>
      </c>
      <c r="Y178" s="212">
        <v>60</v>
      </c>
      <c r="Z178" s="213">
        <v>42</v>
      </c>
    </row>
    <row r="179" spans="1:26" ht="13.5" thickBot="1" x14ac:dyDescent="0.25">
      <c r="A179" s="13">
        <v>0.02</v>
      </c>
      <c r="B179" s="94">
        <f t="shared" ref="B179:L179" si="66">B150/0.25</f>
        <v>11.202099774946426</v>
      </c>
      <c r="C179" s="94">
        <f t="shared" si="66"/>
        <v>16.388771371756473</v>
      </c>
      <c r="D179" s="94">
        <f t="shared" si="66"/>
        <v>21.648001082661793</v>
      </c>
      <c r="E179" s="94">
        <f t="shared" si="66"/>
        <v>24.734742314921952</v>
      </c>
      <c r="F179" s="94">
        <f t="shared" si="66"/>
        <v>32.345786209971983</v>
      </c>
      <c r="G179" s="94">
        <f t="shared" si="66"/>
        <v>36.437483058607391</v>
      </c>
      <c r="H179" s="94">
        <f t="shared" si="66"/>
        <v>38.552186387714158</v>
      </c>
      <c r="I179" s="94">
        <f t="shared" si="66"/>
        <v>31.293180357543882</v>
      </c>
      <c r="J179" s="94">
        <f t="shared" si="66"/>
        <v>38.310618373974719</v>
      </c>
      <c r="K179" s="94">
        <f t="shared" si="66"/>
        <v>30.999642447210441</v>
      </c>
      <c r="L179" s="98">
        <f t="shared" si="66"/>
        <v>27.362780589947313</v>
      </c>
      <c r="O179" s="174">
        <v>0.01</v>
      </c>
      <c r="P179" s="217">
        <f t="shared" ref="P179:V179" si="67">P178*1.05</f>
        <v>486.15000000000003</v>
      </c>
      <c r="Q179" s="217">
        <f t="shared" si="67"/>
        <v>357</v>
      </c>
      <c r="R179" s="217">
        <f t="shared" si="67"/>
        <v>285.60000000000002</v>
      </c>
      <c r="S179" s="217">
        <f t="shared" si="67"/>
        <v>241.5</v>
      </c>
      <c r="T179" s="217">
        <f t="shared" si="67"/>
        <v>185.85</v>
      </c>
      <c r="U179" s="217">
        <f t="shared" si="67"/>
        <v>152.25</v>
      </c>
      <c r="V179" s="217">
        <f t="shared" si="67"/>
        <v>129.15</v>
      </c>
      <c r="W179" s="217">
        <f>W178*1.06</f>
        <v>113.42</v>
      </c>
      <c r="X179" s="217">
        <f>X178*1.06</f>
        <v>81.62</v>
      </c>
      <c r="Y179" s="217">
        <f>Y178*1.06</f>
        <v>63.6</v>
      </c>
      <c r="Z179" s="217">
        <f>Z178*1.07</f>
        <v>44.940000000000005</v>
      </c>
    </row>
    <row r="180" spans="1:26" ht="13.5" thickBot="1" x14ac:dyDescent="0.25">
      <c r="A180" s="14">
        <v>0.01</v>
      </c>
      <c r="B180" s="95">
        <f t="shared" ref="B180:L180" si="68">B151/0.25</f>
        <v>0</v>
      </c>
      <c r="C180" s="95">
        <f t="shared" si="68"/>
        <v>0</v>
      </c>
      <c r="D180" s="95">
        <f t="shared" si="68"/>
        <v>0</v>
      </c>
      <c r="E180" s="95">
        <f t="shared" si="68"/>
        <v>0</v>
      </c>
      <c r="F180" s="95">
        <f t="shared" si="68"/>
        <v>0</v>
      </c>
      <c r="G180" s="95">
        <f t="shared" si="68"/>
        <v>0</v>
      </c>
      <c r="H180" s="95">
        <f t="shared" si="68"/>
        <v>0</v>
      </c>
      <c r="I180" s="95">
        <f t="shared" si="68"/>
        <v>0</v>
      </c>
      <c r="J180" s="95">
        <f t="shared" si="68"/>
        <v>0</v>
      </c>
      <c r="K180" s="95">
        <f t="shared" si="68"/>
        <v>0</v>
      </c>
      <c r="L180" s="96">
        <f t="shared" si="68"/>
        <v>0</v>
      </c>
    </row>
    <row r="181" spans="1:26" ht="13.5" thickBot="1" x14ac:dyDescent="0.25">
      <c r="N181" s="173">
        <v>17</v>
      </c>
      <c r="O181" s="49" t="s">
        <v>132</v>
      </c>
      <c r="R181" s="197" t="s">
        <v>117</v>
      </c>
    </row>
    <row r="182" spans="1:26" ht="13.5" thickBot="1" x14ac:dyDescent="0.25">
      <c r="A182" t="s">
        <v>109</v>
      </c>
      <c r="O182" s="174" t="s">
        <v>52</v>
      </c>
      <c r="P182" s="175">
        <v>5</v>
      </c>
      <c r="Q182" s="176">
        <v>10</v>
      </c>
      <c r="R182" s="176">
        <v>15</v>
      </c>
      <c r="S182" s="176">
        <v>20</v>
      </c>
      <c r="T182" s="176">
        <v>30</v>
      </c>
      <c r="U182" s="176">
        <v>40</v>
      </c>
      <c r="V182" s="176">
        <v>50</v>
      </c>
      <c r="W182" s="176">
        <v>60</v>
      </c>
      <c r="X182" s="176">
        <v>90</v>
      </c>
      <c r="Y182" s="176">
        <v>120</v>
      </c>
      <c r="Z182" s="177">
        <v>180</v>
      </c>
    </row>
    <row r="183" spans="1:26" x14ac:dyDescent="0.2">
      <c r="A183" t="s">
        <v>110</v>
      </c>
      <c r="O183" s="198">
        <v>1</v>
      </c>
      <c r="P183" s="201">
        <v>273</v>
      </c>
      <c r="Q183" s="88">
        <v>193</v>
      </c>
      <c r="R183" s="88">
        <v>149</v>
      </c>
      <c r="S183" s="88">
        <v>125</v>
      </c>
      <c r="T183" s="88">
        <v>95</v>
      </c>
      <c r="U183" s="88">
        <v>79</v>
      </c>
      <c r="V183" s="88">
        <v>67</v>
      </c>
      <c r="W183" s="88">
        <v>58</v>
      </c>
      <c r="X183" s="88">
        <v>42</v>
      </c>
      <c r="Y183" s="88">
        <v>33</v>
      </c>
      <c r="Z183" s="179">
        <v>23</v>
      </c>
    </row>
    <row r="184" spans="1:26" x14ac:dyDescent="0.2">
      <c r="O184" s="178">
        <v>0.5</v>
      </c>
      <c r="P184" s="201">
        <v>320</v>
      </c>
      <c r="Q184" s="88">
        <v>234</v>
      </c>
      <c r="R184" s="88">
        <v>187</v>
      </c>
      <c r="S184" s="88">
        <v>158</v>
      </c>
      <c r="T184" s="88">
        <v>122</v>
      </c>
      <c r="U184" s="88">
        <v>99</v>
      </c>
      <c r="V184" s="88">
        <v>84</v>
      </c>
      <c r="W184" s="88">
        <v>74</v>
      </c>
      <c r="X184" s="88">
        <v>53</v>
      </c>
      <c r="Y184" s="88">
        <v>42</v>
      </c>
      <c r="Z184" s="179">
        <v>29</v>
      </c>
    </row>
    <row r="185" spans="1:26" ht="20.25" x14ac:dyDescent="0.3">
      <c r="A185" s="101" t="s">
        <v>101</v>
      </c>
      <c r="O185" s="178">
        <v>0.2</v>
      </c>
      <c r="P185" s="201">
        <v>378</v>
      </c>
      <c r="Q185" s="88">
        <v>282</v>
      </c>
      <c r="R185" s="88">
        <v>226</v>
      </c>
      <c r="S185" s="88">
        <v>190</v>
      </c>
      <c r="T185" s="88">
        <v>148</v>
      </c>
      <c r="U185" s="88">
        <v>123</v>
      </c>
      <c r="V185" s="88">
        <v>105</v>
      </c>
      <c r="W185" s="88">
        <v>91</v>
      </c>
      <c r="X185" s="88">
        <v>66</v>
      </c>
      <c r="Y185" s="88">
        <v>56</v>
      </c>
      <c r="Z185" s="179">
        <v>36</v>
      </c>
    </row>
    <row r="186" spans="1:26" ht="13.5" thickBot="1" x14ac:dyDescent="0.25">
      <c r="O186" s="178">
        <v>0.1</v>
      </c>
      <c r="P186" s="201">
        <v>415</v>
      </c>
      <c r="Q186" s="88">
        <v>310</v>
      </c>
      <c r="R186" s="88">
        <v>250</v>
      </c>
      <c r="S186" s="88">
        <v>214</v>
      </c>
      <c r="T186" s="88">
        <v>169</v>
      </c>
      <c r="U186" s="88">
        <v>140</v>
      </c>
      <c r="V186" s="88">
        <v>118</v>
      </c>
      <c r="W186" s="88">
        <v>103</v>
      </c>
      <c r="X186" s="88">
        <v>75</v>
      </c>
      <c r="Y186" s="88">
        <v>60</v>
      </c>
      <c r="Z186" s="179">
        <v>44</v>
      </c>
    </row>
    <row r="187" spans="1:26" s="51" customFormat="1" ht="13.5" thickBot="1" x14ac:dyDescent="0.25">
      <c r="A187" s="160" t="s">
        <v>52</v>
      </c>
      <c r="B187" s="160" t="s">
        <v>97</v>
      </c>
      <c r="C187" s="161" t="s">
        <v>102</v>
      </c>
      <c r="N187" s="173"/>
      <c r="O187" s="178">
        <v>0.05</v>
      </c>
      <c r="P187" s="201">
        <v>448</v>
      </c>
      <c r="Q187" s="88">
        <v>333</v>
      </c>
      <c r="R187" s="88">
        <v>270</v>
      </c>
      <c r="S187" s="88">
        <v>230</v>
      </c>
      <c r="T187" s="88">
        <v>183</v>
      </c>
      <c r="U187" s="88">
        <v>154</v>
      </c>
      <c r="V187" s="88">
        <v>131</v>
      </c>
      <c r="W187" s="88">
        <v>114</v>
      </c>
      <c r="X187" s="88">
        <v>84</v>
      </c>
      <c r="Y187" s="88">
        <v>67</v>
      </c>
      <c r="Z187" s="179">
        <v>48</v>
      </c>
    </row>
    <row r="188" spans="1:26" s="103" customFormat="1" ht="13.5" thickBot="1" x14ac:dyDescent="0.25">
      <c r="A188" s="162"/>
      <c r="B188" s="163" t="s">
        <v>98</v>
      </c>
      <c r="C188" s="163" t="s">
        <v>93</v>
      </c>
      <c r="N188" s="173"/>
      <c r="O188" s="180">
        <v>3.3000000000000002E-2</v>
      </c>
      <c r="P188" s="201">
        <v>462</v>
      </c>
      <c r="Q188" s="202">
        <v>350</v>
      </c>
      <c r="R188" s="202">
        <v>277</v>
      </c>
      <c r="S188" s="202">
        <v>245</v>
      </c>
      <c r="T188" s="202">
        <v>192</v>
      </c>
      <c r="U188" s="202">
        <v>160</v>
      </c>
      <c r="V188" s="202">
        <v>138</v>
      </c>
      <c r="W188" s="202">
        <v>120</v>
      </c>
      <c r="X188" s="202">
        <v>89</v>
      </c>
      <c r="Y188" s="202">
        <v>71</v>
      </c>
      <c r="Z188" s="179">
        <v>50</v>
      </c>
    </row>
    <row r="189" spans="1:26" ht="13.5" thickBot="1" x14ac:dyDescent="0.25">
      <c r="A189" s="164">
        <f>G14</f>
        <v>0.2</v>
      </c>
      <c r="B189" s="164">
        <f>G15</f>
        <v>60</v>
      </c>
      <c r="C189" s="165">
        <f>G16</f>
        <v>64</v>
      </c>
      <c r="O189" s="203">
        <v>0.02</v>
      </c>
      <c r="P189" s="204">
        <f>P188*1.04</f>
        <v>480.48</v>
      </c>
      <c r="Q189" s="205">
        <f>Q188*1.05</f>
        <v>367.5</v>
      </c>
      <c r="R189" s="205">
        <f t="shared" ref="R189:X189" si="69">R188*1.06</f>
        <v>293.62</v>
      </c>
      <c r="S189" s="205">
        <f t="shared" si="69"/>
        <v>259.7</v>
      </c>
      <c r="T189" s="205">
        <f t="shared" si="69"/>
        <v>203.52</v>
      </c>
      <c r="U189" s="205">
        <f t="shared" si="69"/>
        <v>169.60000000000002</v>
      </c>
      <c r="V189" s="205">
        <f t="shared" si="69"/>
        <v>146.28</v>
      </c>
      <c r="W189" s="205">
        <f t="shared" si="69"/>
        <v>127.2</v>
      </c>
      <c r="X189" s="205">
        <f t="shared" si="69"/>
        <v>94.34</v>
      </c>
      <c r="Y189" s="205">
        <f>Y188*1.07</f>
        <v>75.97</v>
      </c>
      <c r="Z189" s="206">
        <f>Z188*1.07</f>
        <v>53.5</v>
      </c>
    </row>
    <row r="190" spans="1:26" ht="13.5" thickBot="1" x14ac:dyDescent="0.25">
      <c r="O190" s="22">
        <v>0.01</v>
      </c>
      <c r="P190" s="207">
        <f>P188*1.09</f>
        <v>503.58000000000004</v>
      </c>
      <c r="Q190" s="208">
        <f>Q188*1.1</f>
        <v>385.00000000000006</v>
      </c>
      <c r="R190" s="208">
        <f>R188*1.11</f>
        <v>307.47000000000003</v>
      </c>
      <c r="S190" s="208">
        <f>S188*1.11</f>
        <v>271.95000000000005</v>
      </c>
      <c r="T190" s="208">
        <f>T188*1.11</f>
        <v>213.12</v>
      </c>
      <c r="U190" s="208">
        <f>U188*1.12</f>
        <v>179.20000000000002</v>
      </c>
      <c r="V190" s="208">
        <f>V188*1.12</f>
        <v>154.56</v>
      </c>
      <c r="W190" s="208">
        <f>W188*1.12</f>
        <v>134.4</v>
      </c>
      <c r="X190" s="208">
        <f>X188*1.13</f>
        <v>100.57</v>
      </c>
      <c r="Y190" s="208">
        <f>Y188*1.13</f>
        <v>80.22999999999999</v>
      </c>
      <c r="Z190" s="209">
        <f>Z188*1.14</f>
        <v>56.999999999999993</v>
      </c>
    </row>
    <row r="191" spans="1:26" ht="13.5" thickBot="1" x14ac:dyDescent="0.25"/>
    <row r="192" spans="1:26" ht="13.5" thickBot="1" x14ac:dyDescent="0.25">
      <c r="A192" s="166" t="s">
        <v>100</v>
      </c>
      <c r="B192" s="166" t="s">
        <v>84</v>
      </c>
      <c r="C192" s="166" t="s">
        <v>85</v>
      </c>
      <c r="D192" s="166" t="s">
        <v>86</v>
      </c>
      <c r="E192" s="166" t="s">
        <v>87</v>
      </c>
      <c r="F192" s="167" t="s">
        <v>88</v>
      </c>
      <c r="G192" s="168" t="s">
        <v>89</v>
      </c>
      <c r="H192" s="169" t="s">
        <v>92</v>
      </c>
      <c r="N192" s="173">
        <v>18</v>
      </c>
      <c r="O192" s="49" t="s">
        <v>133</v>
      </c>
      <c r="R192" s="197" t="s">
        <v>117</v>
      </c>
    </row>
    <row r="193" spans="1:26" ht="15" thickBot="1" x14ac:dyDescent="0.25">
      <c r="A193" s="163" t="s">
        <v>12</v>
      </c>
      <c r="B193" s="163" t="s">
        <v>12</v>
      </c>
      <c r="C193" s="163" t="s">
        <v>12</v>
      </c>
      <c r="D193" s="163" t="s">
        <v>90</v>
      </c>
      <c r="E193" s="163" t="s">
        <v>90</v>
      </c>
      <c r="F193" s="163" t="s">
        <v>91</v>
      </c>
      <c r="G193" s="163" t="s">
        <v>94</v>
      </c>
      <c r="H193" s="163" t="s">
        <v>95</v>
      </c>
      <c r="O193" s="174" t="s">
        <v>52</v>
      </c>
      <c r="P193" s="175">
        <v>5</v>
      </c>
      <c r="Q193" s="176">
        <v>10</v>
      </c>
      <c r="R193" s="176">
        <v>15</v>
      </c>
      <c r="S193" s="176">
        <v>20</v>
      </c>
      <c r="T193" s="176">
        <v>30</v>
      </c>
      <c r="U193" s="176">
        <v>40</v>
      </c>
      <c r="V193" s="176">
        <v>50</v>
      </c>
      <c r="W193" s="176">
        <v>60</v>
      </c>
      <c r="X193" s="176">
        <v>90</v>
      </c>
      <c r="Y193" s="176">
        <v>120</v>
      </c>
      <c r="Z193" s="177">
        <v>180</v>
      </c>
    </row>
    <row r="194" spans="1:26" s="103" customFormat="1" ht="13.5" thickBot="1" x14ac:dyDescent="0.25">
      <c r="A194" s="109">
        <f>(G16*0.0000001*$E$29*G15*60*$G$18)/((G19*G20*0.4*0.95)+($G$17*0.5*(G19+(G20*0.4*0.5))*G15*60*$G$18))</f>
        <v>39.102734260298817</v>
      </c>
      <c r="B194" s="165">
        <f>G19</f>
        <v>4</v>
      </c>
      <c r="C194" s="165">
        <f>G20*0.4</f>
        <v>0.4</v>
      </c>
      <c r="D194" s="170">
        <f>A194*B194</f>
        <v>156.41093704119527</v>
      </c>
      <c r="E194" s="170">
        <f>A194*B194*C194</f>
        <v>62.564374816478107</v>
      </c>
      <c r="F194" s="170">
        <f>E194*0.95</f>
        <v>59.436156075654196</v>
      </c>
      <c r="G194" s="171">
        <f>E194/0.2</f>
        <v>312.82187408239054</v>
      </c>
      <c r="H194" s="172">
        <f>G20*0.4/G17/60/60</f>
        <v>2.7777777777777777</v>
      </c>
      <c r="N194" s="173"/>
      <c r="O194" s="198">
        <v>1</v>
      </c>
      <c r="P194" s="201">
        <v>225</v>
      </c>
      <c r="Q194" s="88">
        <v>145</v>
      </c>
      <c r="R194" s="88">
        <v>110</v>
      </c>
      <c r="S194" s="88">
        <v>91</v>
      </c>
      <c r="T194" s="88">
        <v>69</v>
      </c>
      <c r="U194" s="88">
        <v>56</v>
      </c>
      <c r="V194" s="88">
        <v>48</v>
      </c>
      <c r="W194" s="88">
        <v>42</v>
      </c>
      <c r="X194" s="88">
        <v>30</v>
      </c>
      <c r="Y194" s="88">
        <v>24</v>
      </c>
      <c r="Z194" s="179">
        <v>17</v>
      </c>
    </row>
    <row r="195" spans="1:26" s="103" customFormat="1" x14ac:dyDescent="0.2">
      <c r="A195" s="113" t="s">
        <v>106</v>
      </c>
      <c r="B195" s="110"/>
      <c r="C195" s="110"/>
      <c r="D195" s="111"/>
      <c r="E195" s="111"/>
      <c r="F195" s="111"/>
      <c r="G195" s="112"/>
      <c r="H195" s="111"/>
      <c r="N195" s="173"/>
      <c r="O195" s="178">
        <v>0.5</v>
      </c>
      <c r="P195" s="201">
        <v>278</v>
      </c>
      <c r="Q195" s="88">
        <v>185</v>
      </c>
      <c r="R195" s="88">
        <v>144</v>
      </c>
      <c r="S195" s="88">
        <v>119</v>
      </c>
      <c r="T195" s="88">
        <v>90</v>
      </c>
      <c r="U195" s="88">
        <v>74</v>
      </c>
      <c r="V195" s="88">
        <v>62</v>
      </c>
      <c r="W195" s="88">
        <v>54</v>
      </c>
      <c r="X195" s="88">
        <v>40</v>
      </c>
      <c r="Y195" s="88">
        <v>32</v>
      </c>
      <c r="Z195" s="179">
        <v>22</v>
      </c>
    </row>
    <row r="196" spans="1:26" s="103" customFormat="1" x14ac:dyDescent="0.2">
      <c r="A196" s="113" t="s">
        <v>111</v>
      </c>
      <c r="B196" s="110"/>
      <c r="C196" s="110"/>
      <c r="D196" s="111"/>
      <c r="E196" s="111"/>
      <c r="F196" s="111"/>
      <c r="G196" s="112"/>
      <c r="H196" s="111"/>
      <c r="N196" s="173"/>
      <c r="O196" s="178">
        <v>0.2</v>
      </c>
      <c r="P196" s="201">
        <v>356</v>
      </c>
      <c r="Q196" s="88">
        <v>243</v>
      </c>
      <c r="R196" s="88">
        <v>193</v>
      </c>
      <c r="S196" s="88">
        <v>162</v>
      </c>
      <c r="T196" s="88">
        <v>125</v>
      </c>
      <c r="U196" s="88">
        <v>103</v>
      </c>
      <c r="V196" s="88">
        <v>87</v>
      </c>
      <c r="W196" s="88">
        <v>76</v>
      </c>
      <c r="X196" s="88">
        <v>56</v>
      </c>
      <c r="Y196" s="88">
        <v>44</v>
      </c>
      <c r="Z196" s="179">
        <v>32</v>
      </c>
    </row>
    <row r="197" spans="1:26" x14ac:dyDescent="0.2">
      <c r="O197" s="178">
        <v>0.1</v>
      </c>
      <c r="P197" s="201">
        <v>410</v>
      </c>
      <c r="Q197" s="88">
        <v>291</v>
      </c>
      <c r="R197" s="88">
        <v>236</v>
      </c>
      <c r="S197" s="88">
        <v>202</v>
      </c>
      <c r="T197" s="88">
        <v>160</v>
      </c>
      <c r="U197" s="88">
        <v>133</v>
      </c>
      <c r="V197" s="88">
        <v>113</v>
      </c>
      <c r="W197" s="88">
        <v>98</v>
      </c>
      <c r="X197" s="88">
        <v>72</v>
      </c>
      <c r="Y197" s="88">
        <v>58</v>
      </c>
      <c r="Z197" s="179">
        <v>41</v>
      </c>
    </row>
    <row r="198" spans="1:26" x14ac:dyDescent="0.2">
      <c r="D198" s="107"/>
      <c r="I198" s="114" t="s">
        <v>99</v>
      </c>
      <c r="J198" s="102" t="s">
        <v>108</v>
      </c>
      <c r="O198" s="178">
        <v>0.05</v>
      </c>
      <c r="P198" s="201">
        <v>462</v>
      </c>
      <c r="Q198" s="88">
        <v>340</v>
      </c>
      <c r="R198" s="88">
        <v>278</v>
      </c>
      <c r="S198" s="88">
        <v>240</v>
      </c>
      <c r="T198" s="88">
        <v>193</v>
      </c>
      <c r="U198" s="88">
        <v>163</v>
      </c>
      <c r="V198" s="88">
        <v>142</v>
      </c>
      <c r="W198" s="88">
        <v>125</v>
      </c>
      <c r="X198" s="88">
        <v>93</v>
      </c>
      <c r="Y198" s="88">
        <v>76</v>
      </c>
      <c r="Z198" s="179">
        <v>55</v>
      </c>
    </row>
    <row r="199" spans="1:26" ht="13.5" thickBot="1" x14ac:dyDescent="0.25">
      <c r="D199" s="107"/>
      <c r="I199" s="108">
        <f>K10</f>
        <v>40561</v>
      </c>
      <c r="O199" s="180">
        <v>3.3000000000000002E-2</v>
      </c>
      <c r="P199" s="201">
        <v>492</v>
      </c>
      <c r="Q199" s="202">
        <v>368</v>
      </c>
      <c r="R199" s="202">
        <v>302</v>
      </c>
      <c r="S199" s="202">
        <v>263</v>
      </c>
      <c r="T199" s="202">
        <v>212</v>
      </c>
      <c r="U199" s="202">
        <v>181</v>
      </c>
      <c r="V199" s="202">
        <v>158</v>
      </c>
      <c r="W199" s="202">
        <v>141</v>
      </c>
      <c r="X199" s="202">
        <v>107</v>
      </c>
      <c r="Y199" s="202">
        <v>87</v>
      </c>
      <c r="Z199" s="179">
        <v>64</v>
      </c>
    </row>
    <row r="200" spans="1:26" ht="13.5" thickBot="1" x14ac:dyDescent="0.25">
      <c r="A200" s="25"/>
      <c r="B200" s="108"/>
      <c r="D200" s="107"/>
      <c r="O200" s="203">
        <v>0.02</v>
      </c>
      <c r="P200" s="204">
        <f>P199*1.04</f>
        <v>511.68</v>
      </c>
      <c r="Q200" s="205">
        <f>Q199*1.05</f>
        <v>386.40000000000003</v>
      </c>
      <c r="R200" s="205">
        <f t="shared" ref="R200:X200" si="70">R199*1.06</f>
        <v>320.12</v>
      </c>
      <c r="S200" s="205">
        <f t="shared" si="70"/>
        <v>278.78000000000003</v>
      </c>
      <c r="T200" s="205">
        <f t="shared" si="70"/>
        <v>224.72</v>
      </c>
      <c r="U200" s="205">
        <f t="shared" si="70"/>
        <v>191.86</v>
      </c>
      <c r="V200" s="205">
        <f t="shared" si="70"/>
        <v>167.48000000000002</v>
      </c>
      <c r="W200" s="205">
        <f t="shared" si="70"/>
        <v>149.46</v>
      </c>
      <c r="X200" s="205">
        <f t="shared" si="70"/>
        <v>113.42</v>
      </c>
      <c r="Y200" s="205">
        <f>Y199*1.07</f>
        <v>93.09</v>
      </c>
      <c r="Z200" s="206">
        <f>Z199*1.07</f>
        <v>68.48</v>
      </c>
    </row>
    <row r="201" spans="1:26" ht="13.5" thickBot="1" x14ac:dyDescent="0.25">
      <c r="A201" s="60" t="s">
        <v>107</v>
      </c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20"/>
      <c r="O201" s="22">
        <v>0.01</v>
      </c>
      <c r="P201" s="207">
        <f>P199*1.09</f>
        <v>536.28000000000009</v>
      </c>
      <c r="Q201" s="208">
        <f>Q199*1.1</f>
        <v>404.8</v>
      </c>
      <c r="R201" s="208">
        <f>R199*1.11</f>
        <v>335.22</v>
      </c>
      <c r="S201" s="208">
        <f>S199*1.11</f>
        <v>291.93</v>
      </c>
      <c r="T201" s="208">
        <f>T199*1.11</f>
        <v>235.32000000000002</v>
      </c>
      <c r="U201" s="208">
        <f>U199*1.12</f>
        <v>202.72000000000003</v>
      </c>
      <c r="V201" s="208">
        <f>V199*1.12</f>
        <v>176.96</v>
      </c>
      <c r="W201" s="208">
        <f>W199*1.12</f>
        <v>157.92000000000002</v>
      </c>
      <c r="X201" s="208">
        <f>X199*1.13</f>
        <v>120.90999999999998</v>
      </c>
      <c r="Y201" s="208">
        <f>Y199*1.13</f>
        <v>98.309999999999988</v>
      </c>
      <c r="Z201" s="209">
        <f>Z199*1.14</f>
        <v>72.959999999999994</v>
      </c>
    </row>
    <row r="203" spans="1:26" ht="13.5" thickBot="1" x14ac:dyDescent="0.25">
      <c r="N203" s="173">
        <v>19</v>
      </c>
      <c r="O203" s="49" t="s">
        <v>134</v>
      </c>
      <c r="R203" s="197" t="s">
        <v>117</v>
      </c>
    </row>
    <row r="204" spans="1:26" ht="13.5" thickBot="1" x14ac:dyDescent="0.25">
      <c r="O204" s="174" t="s">
        <v>52</v>
      </c>
      <c r="P204" s="175">
        <v>5</v>
      </c>
      <c r="Q204" s="176">
        <v>10</v>
      </c>
      <c r="R204" s="176">
        <v>15</v>
      </c>
      <c r="S204" s="176">
        <v>20</v>
      </c>
      <c r="T204" s="176">
        <v>30</v>
      </c>
      <c r="U204" s="176">
        <v>40</v>
      </c>
      <c r="V204" s="176">
        <v>50</v>
      </c>
      <c r="W204" s="176">
        <v>60</v>
      </c>
      <c r="X204" s="176">
        <v>90</v>
      </c>
      <c r="Y204" s="176">
        <v>120</v>
      </c>
      <c r="Z204" s="177">
        <v>180</v>
      </c>
    </row>
    <row r="205" spans="1:26" x14ac:dyDescent="0.2">
      <c r="O205" s="181">
        <v>1</v>
      </c>
      <c r="P205" s="200">
        <v>219</v>
      </c>
      <c r="Q205" s="183">
        <v>138</v>
      </c>
      <c r="R205" s="183">
        <v>102</v>
      </c>
      <c r="S205" s="183">
        <v>82</v>
      </c>
      <c r="T205" s="183">
        <v>59</v>
      </c>
      <c r="U205" s="183">
        <v>46</v>
      </c>
      <c r="V205" s="183">
        <v>38</v>
      </c>
      <c r="W205" s="183">
        <v>32</v>
      </c>
      <c r="X205" s="183">
        <v>22</v>
      </c>
      <c r="Y205" s="183">
        <v>17</v>
      </c>
      <c r="Z205" s="184">
        <v>11</v>
      </c>
    </row>
    <row r="206" spans="1:26" x14ac:dyDescent="0.2">
      <c r="O206" s="178">
        <v>0.5</v>
      </c>
      <c r="P206" s="202">
        <v>273</v>
      </c>
      <c r="Q206" s="88">
        <v>173</v>
      </c>
      <c r="R206" s="88">
        <v>130</v>
      </c>
      <c r="S206" s="88">
        <v>105</v>
      </c>
      <c r="T206" s="88">
        <v>76</v>
      </c>
      <c r="U206" s="88">
        <v>60</v>
      </c>
      <c r="V206" s="88">
        <v>49</v>
      </c>
      <c r="W206" s="88">
        <v>42</v>
      </c>
      <c r="X206" s="88">
        <v>29</v>
      </c>
      <c r="Y206" s="88">
        <v>22</v>
      </c>
      <c r="Z206" s="179">
        <v>14</v>
      </c>
    </row>
    <row r="207" spans="1:26" x14ac:dyDescent="0.2">
      <c r="O207" s="178">
        <v>0.2</v>
      </c>
      <c r="P207" s="202">
        <v>340</v>
      </c>
      <c r="Q207" s="88">
        <v>224</v>
      </c>
      <c r="R207" s="88">
        <v>170</v>
      </c>
      <c r="S207" s="88">
        <v>137</v>
      </c>
      <c r="T207" s="88">
        <v>100</v>
      </c>
      <c r="U207" s="88">
        <v>79</v>
      </c>
      <c r="V207" s="88">
        <v>65</v>
      </c>
      <c r="W207" s="88">
        <v>55</v>
      </c>
      <c r="X207" s="88">
        <v>38</v>
      </c>
      <c r="Y207" s="88">
        <v>29</v>
      </c>
      <c r="Z207" s="179">
        <v>19</v>
      </c>
    </row>
    <row r="208" spans="1:26" x14ac:dyDescent="0.2">
      <c r="O208" s="178">
        <v>0.1</v>
      </c>
      <c r="P208" s="202">
        <v>385</v>
      </c>
      <c r="Q208" s="88">
        <v>263</v>
      </c>
      <c r="R208" s="88">
        <v>200</v>
      </c>
      <c r="S208" s="88">
        <v>164</v>
      </c>
      <c r="T208" s="88">
        <v>120</v>
      </c>
      <c r="U208" s="88">
        <v>95</v>
      </c>
      <c r="V208" s="88">
        <v>78</v>
      </c>
      <c r="W208" s="88">
        <v>66</v>
      </c>
      <c r="X208" s="88">
        <v>46</v>
      </c>
      <c r="Y208" s="88">
        <v>35</v>
      </c>
      <c r="Z208" s="179">
        <v>24</v>
      </c>
    </row>
    <row r="209" spans="14:26" x14ac:dyDescent="0.2">
      <c r="O209" s="178">
        <v>0.05</v>
      </c>
      <c r="P209" s="202">
        <v>424</v>
      </c>
      <c r="Q209" s="88">
        <v>301</v>
      </c>
      <c r="R209" s="88">
        <v>234</v>
      </c>
      <c r="S209" s="88">
        <v>191</v>
      </c>
      <c r="T209" s="88">
        <v>140</v>
      </c>
      <c r="U209" s="88">
        <v>112</v>
      </c>
      <c r="V209" s="88">
        <v>92</v>
      </c>
      <c r="W209" s="88">
        <v>78</v>
      </c>
      <c r="X209" s="88">
        <v>54</v>
      </c>
      <c r="Y209" s="88">
        <v>42</v>
      </c>
      <c r="Z209" s="179">
        <v>28</v>
      </c>
    </row>
    <row r="210" spans="14:26" x14ac:dyDescent="0.2">
      <c r="O210" s="178">
        <v>3.3000000000000002E-2</v>
      </c>
      <c r="P210" s="202">
        <v>451</v>
      </c>
      <c r="Q210" s="88">
        <v>312</v>
      </c>
      <c r="R210" s="88">
        <v>247</v>
      </c>
      <c r="S210" s="88">
        <v>207</v>
      </c>
      <c r="T210" s="88">
        <v>158</v>
      </c>
      <c r="U210" s="88">
        <v>131</v>
      </c>
      <c r="V210" s="88">
        <v>112</v>
      </c>
      <c r="W210" s="88">
        <v>97</v>
      </c>
      <c r="X210" s="88">
        <v>71</v>
      </c>
      <c r="Y210" s="88">
        <v>56</v>
      </c>
      <c r="Z210" s="179">
        <v>40</v>
      </c>
    </row>
    <row r="211" spans="14:26" x14ac:dyDescent="0.2">
      <c r="O211" s="178">
        <v>0.02</v>
      </c>
      <c r="P211" s="202">
        <v>470</v>
      </c>
      <c r="Q211" s="88">
        <v>334</v>
      </c>
      <c r="R211" s="88">
        <v>264</v>
      </c>
      <c r="S211" s="88">
        <v>220</v>
      </c>
      <c r="T211" s="88">
        <v>169</v>
      </c>
      <c r="U211" s="88">
        <v>138</v>
      </c>
      <c r="V211" s="88">
        <v>118</v>
      </c>
      <c r="W211" s="88">
        <v>102</v>
      </c>
      <c r="X211" s="88">
        <v>75</v>
      </c>
      <c r="Y211" s="88">
        <v>60</v>
      </c>
      <c r="Z211" s="179">
        <v>43</v>
      </c>
    </row>
    <row r="212" spans="14:26" ht="13.5" thickBot="1" x14ac:dyDescent="0.25">
      <c r="O212" s="180">
        <v>0.01</v>
      </c>
      <c r="P212" s="212">
        <v>492</v>
      </c>
      <c r="Q212" s="212">
        <v>350</v>
      </c>
      <c r="R212" s="212">
        <v>278</v>
      </c>
      <c r="S212" s="212">
        <v>232</v>
      </c>
      <c r="T212" s="212">
        <v>179</v>
      </c>
      <c r="U212" s="212">
        <v>147</v>
      </c>
      <c r="V212" s="212">
        <v>125</v>
      </c>
      <c r="W212" s="212">
        <v>109</v>
      </c>
      <c r="X212" s="212">
        <v>80</v>
      </c>
      <c r="Y212" s="212">
        <v>64</v>
      </c>
      <c r="Z212" s="213">
        <v>46</v>
      </c>
    </row>
    <row r="214" spans="14:26" ht="13.5" thickBot="1" x14ac:dyDescent="0.25">
      <c r="N214" s="173">
        <v>20</v>
      </c>
      <c r="O214" s="49" t="s">
        <v>135</v>
      </c>
      <c r="R214" s="197" t="s">
        <v>117</v>
      </c>
    </row>
    <row r="215" spans="14:26" ht="13.5" thickBot="1" x14ac:dyDescent="0.25">
      <c r="O215" s="174" t="s">
        <v>52</v>
      </c>
      <c r="P215" s="175">
        <v>5</v>
      </c>
      <c r="Q215" s="176">
        <v>10</v>
      </c>
      <c r="R215" s="176">
        <v>15</v>
      </c>
      <c r="S215" s="176">
        <v>20</v>
      </c>
      <c r="T215" s="176">
        <v>30</v>
      </c>
      <c r="U215" s="176">
        <v>40</v>
      </c>
      <c r="V215" s="176">
        <v>50</v>
      </c>
      <c r="W215" s="176">
        <v>60</v>
      </c>
      <c r="X215" s="176">
        <v>90</v>
      </c>
      <c r="Y215" s="176">
        <v>120</v>
      </c>
      <c r="Z215" s="177">
        <v>180</v>
      </c>
    </row>
    <row r="216" spans="14:26" x14ac:dyDescent="0.2">
      <c r="O216" s="198">
        <v>1</v>
      </c>
      <c r="P216" s="201">
        <v>275</v>
      </c>
      <c r="Q216" s="88">
        <v>188</v>
      </c>
      <c r="R216" s="88">
        <v>145</v>
      </c>
      <c r="S216" s="88">
        <v>120</v>
      </c>
      <c r="T216" s="88">
        <v>89</v>
      </c>
      <c r="U216" s="88">
        <v>72</v>
      </c>
      <c r="V216" s="88">
        <v>60</v>
      </c>
      <c r="W216" s="88">
        <v>52</v>
      </c>
      <c r="X216" s="88">
        <v>38</v>
      </c>
      <c r="Y216" s="88">
        <v>30</v>
      </c>
      <c r="Z216" s="179">
        <v>20</v>
      </c>
    </row>
    <row r="217" spans="14:26" x14ac:dyDescent="0.2">
      <c r="O217" s="178">
        <v>0.5</v>
      </c>
      <c r="P217" s="201">
        <v>324</v>
      </c>
      <c r="Q217" s="88">
        <v>226</v>
      </c>
      <c r="R217" s="186">
        <v>178</v>
      </c>
      <c r="S217" s="88">
        <v>148</v>
      </c>
      <c r="T217" s="88">
        <v>112</v>
      </c>
      <c r="U217" s="88">
        <v>91</v>
      </c>
      <c r="V217" s="88">
        <v>77</v>
      </c>
      <c r="W217" s="88">
        <v>67</v>
      </c>
      <c r="X217" s="88">
        <v>49</v>
      </c>
      <c r="Y217" s="88">
        <v>39</v>
      </c>
      <c r="Z217" s="179">
        <v>27</v>
      </c>
    </row>
    <row r="218" spans="14:26" x14ac:dyDescent="0.2">
      <c r="O218" s="178">
        <v>0.2</v>
      </c>
      <c r="P218" s="201">
        <v>384</v>
      </c>
      <c r="Q218" s="88">
        <v>280</v>
      </c>
      <c r="R218" s="88">
        <v>222</v>
      </c>
      <c r="S218" s="88">
        <v>185</v>
      </c>
      <c r="T218" s="88">
        <v>143</v>
      </c>
      <c r="U218" s="88">
        <v>118</v>
      </c>
      <c r="V218" s="88">
        <v>100</v>
      </c>
      <c r="W218" s="88">
        <v>88</v>
      </c>
      <c r="X218" s="88">
        <v>65</v>
      </c>
      <c r="Y218" s="88">
        <v>52</v>
      </c>
      <c r="Z218" s="179">
        <v>35</v>
      </c>
    </row>
    <row r="219" spans="14:26" x14ac:dyDescent="0.2">
      <c r="O219" s="178">
        <v>0.1</v>
      </c>
      <c r="P219" s="201">
        <v>420</v>
      </c>
      <c r="Q219" s="88">
        <v>311</v>
      </c>
      <c r="R219" s="88">
        <v>248</v>
      </c>
      <c r="S219" s="88">
        <v>211</v>
      </c>
      <c r="T219" s="88">
        <v>165</v>
      </c>
      <c r="U219" s="88">
        <v>138</v>
      </c>
      <c r="V219" s="88">
        <v>118</v>
      </c>
      <c r="W219" s="88">
        <v>104</v>
      </c>
      <c r="X219" s="88">
        <v>78</v>
      </c>
      <c r="Y219" s="88">
        <v>62</v>
      </c>
      <c r="Z219" s="179">
        <v>42</v>
      </c>
    </row>
    <row r="220" spans="14:26" x14ac:dyDescent="0.2">
      <c r="O220" s="178">
        <v>0.05</v>
      </c>
      <c r="P220" s="201">
        <v>460</v>
      </c>
      <c r="Q220" s="88">
        <v>343</v>
      </c>
      <c r="R220" s="88">
        <v>276</v>
      </c>
      <c r="S220" s="88">
        <v>234</v>
      </c>
      <c r="T220" s="88">
        <v>184</v>
      </c>
      <c r="U220" s="88">
        <v>154</v>
      </c>
      <c r="V220" s="88">
        <v>133</v>
      </c>
      <c r="W220" s="88">
        <v>117</v>
      </c>
      <c r="X220" s="88">
        <v>88</v>
      </c>
      <c r="Y220" s="88">
        <v>71</v>
      </c>
      <c r="Z220" s="179">
        <v>49</v>
      </c>
    </row>
    <row r="221" spans="14:26" ht="13.5" thickBot="1" x14ac:dyDescent="0.25">
      <c r="O221" s="180">
        <v>3.3000000000000002E-2</v>
      </c>
      <c r="P221" s="201">
        <v>490</v>
      </c>
      <c r="Q221" s="202">
        <v>365</v>
      </c>
      <c r="R221" s="202">
        <v>294</v>
      </c>
      <c r="S221" s="202">
        <v>250</v>
      </c>
      <c r="T221" s="202">
        <v>196</v>
      </c>
      <c r="U221" s="202">
        <v>164</v>
      </c>
      <c r="V221" s="202">
        <v>141</v>
      </c>
      <c r="W221" s="202">
        <v>125</v>
      </c>
      <c r="X221" s="202">
        <v>94</v>
      </c>
      <c r="Y221" s="202">
        <v>76</v>
      </c>
      <c r="Z221" s="179">
        <v>54</v>
      </c>
    </row>
    <row r="222" spans="14:26" x14ac:dyDescent="0.2">
      <c r="O222" s="203">
        <v>0.02</v>
      </c>
      <c r="P222" s="204">
        <f>P221*1.04</f>
        <v>509.6</v>
      </c>
      <c r="Q222" s="205">
        <f>Q221*1.05</f>
        <v>383.25</v>
      </c>
      <c r="R222" s="205">
        <f t="shared" ref="R222:X222" si="71">R221*1.06</f>
        <v>311.64000000000004</v>
      </c>
      <c r="S222" s="205">
        <f t="shared" si="71"/>
        <v>265</v>
      </c>
      <c r="T222" s="205">
        <f t="shared" si="71"/>
        <v>207.76000000000002</v>
      </c>
      <c r="U222" s="205">
        <f t="shared" si="71"/>
        <v>173.84</v>
      </c>
      <c r="V222" s="205">
        <f t="shared" si="71"/>
        <v>149.46</v>
      </c>
      <c r="W222" s="205">
        <f t="shared" si="71"/>
        <v>132.5</v>
      </c>
      <c r="X222" s="205">
        <f t="shared" si="71"/>
        <v>99.64</v>
      </c>
      <c r="Y222" s="205">
        <f>Y221*1.07</f>
        <v>81.320000000000007</v>
      </c>
      <c r="Z222" s="206">
        <f>Z221*1.07</f>
        <v>57.78</v>
      </c>
    </row>
    <row r="223" spans="14:26" ht="13.5" thickBot="1" x14ac:dyDescent="0.25">
      <c r="O223" s="22">
        <v>0.01</v>
      </c>
      <c r="P223" s="207">
        <f>P221*1.09</f>
        <v>534.1</v>
      </c>
      <c r="Q223" s="208">
        <f>Q221*1.1</f>
        <v>401.50000000000006</v>
      </c>
      <c r="R223" s="208">
        <f>R221*1.11</f>
        <v>326.34000000000003</v>
      </c>
      <c r="S223" s="208">
        <f>S221*1.11</f>
        <v>277.5</v>
      </c>
      <c r="T223" s="208">
        <f>T221*1.11</f>
        <v>217.56000000000003</v>
      </c>
      <c r="U223" s="208">
        <f>U221*1.12</f>
        <v>183.68</v>
      </c>
      <c r="V223" s="208">
        <f>V221*1.12</f>
        <v>157.92000000000002</v>
      </c>
      <c r="W223" s="208">
        <f>W221*1.12</f>
        <v>140</v>
      </c>
      <c r="X223" s="208">
        <f>X221*1.13</f>
        <v>106.21999999999998</v>
      </c>
      <c r="Y223" s="208">
        <f>Y221*1.13</f>
        <v>85.88</v>
      </c>
      <c r="Z223" s="209">
        <f>Z221*1.14</f>
        <v>61.559999999999995</v>
      </c>
    </row>
    <row r="225" spans="14:26" ht="13.5" thickBot="1" x14ac:dyDescent="0.25">
      <c r="N225" s="173">
        <v>21</v>
      </c>
      <c r="O225" s="49" t="s">
        <v>136</v>
      </c>
      <c r="R225" s="197" t="s">
        <v>117</v>
      </c>
    </row>
    <row r="226" spans="14:26" ht="13.5" thickBot="1" x14ac:dyDescent="0.25">
      <c r="O226" s="174" t="s">
        <v>52</v>
      </c>
      <c r="P226" s="175">
        <v>5</v>
      </c>
      <c r="Q226" s="176">
        <v>10</v>
      </c>
      <c r="R226" s="176">
        <v>15</v>
      </c>
      <c r="S226" s="176">
        <v>20</v>
      </c>
      <c r="T226" s="176">
        <v>30</v>
      </c>
      <c r="U226" s="176">
        <v>40</v>
      </c>
      <c r="V226" s="176">
        <v>50</v>
      </c>
      <c r="W226" s="176">
        <v>60</v>
      </c>
      <c r="X226" s="176">
        <v>90</v>
      </c>
      <c r="Y226" s="176">
        <v>120</v>
      </c>
      <c r="Z226" s="177">
        <v>180</v>
      </c>
    </row>
    <row r="227" spans="14:26" x14ac:dyDescent="0.2">
      <c r="O227" s="198">
        <v>1</v>
      </c>
      <c r="P227" s="201">
        <v>272</v>
      </c>
      <c r="Q227" s="88">
        <v>183</v>
      </c>
      <c r="R227" s="88">
        <v>138</v>
      </c>
      <c r="S227" s="88">
        <v>113</v>
      </c>
      <c r="T227" s="88">
        <v>83</v>
      </c>
      <c r="U227" s="88">
        <v>66</v>
      </c>
      <c r="V227" s="88">
        <v>55</v>
      </c>
      <c r="W227" s="88">
        <v>47</v>
      </c>
      <c r="X227" s="88">
        <v>33</v>
      </c>
      <c r="Y227" s="88">
        <v>25</v>
      </c>
      <c r="Z227" s="179">
        <v>17</v>
      </c>
    </row>
    <row r="228" spans="14:26" x14ac:dyDescent="0.2">
      <c r="O228" s="178">
        <v>0.5</v>
      </c>
      <c r="P228" s="201">
        <v>312</v>
      </c>
      <c r="Q228" s="88">
        <v>214</v>
      </c>
      <c r="R228" s="186">
        <v>165</v>
      </c>
      <c r="S228" s="88">
        <v>135</v>
      </c>
      <c r="T228" s="88">
        <v>99</v>
      </c>
      <c r="U228" s="88">
        <v>80</v>
      </c>
      <c r="V228" s="88">
        <v>66</v>
      </c>
      <c r="W228" s="88">
        <v>57</v>
      </c>
      <c r="X228" s="88">
        <v>40</v>
      </c>
      <c r="Y228" s="88">
        <v>30</v>
      </c>
      <c r="Z228" s="179">
        <v>20</v>
      </c>
    </row>
    <row r="229" spans="14:26" x14ac:dyDescent="0.2">
      <c r="O229" s="178">
        <v>0.2</v>
      </c>
      <c r="P229" s="201">
        <v>367</v>
      </c>
      <c r="Q229" s="88">
        <v>258</v>
      </c>
      <c r="R229" s="88">
        <v>200</v>
      </c>
      <c r="S229" s="88">
        <v>164</v>
      </c>
      <c r="T229" s="88">
        <v>122</v>
      </c>
      <c r="U229" s="88">
        <v>96</v>
      </c>
      <c r="V229" s="88">
        <v>80</v>
      </c>
      <c r="W229" s="88">
        <v>70</v>
      </c>
      <c r="X229" s="88">
        <v>48</v>
      </c>
      <c r="Y229" s="88">
        <v>37</v>
      </c>
      <c r="Z229" s="179">
        <v>25</v>
      </c>
    </row>
    <row r="230" spans="14:26" x14ac:dyDescent="0.2">
      <c r="O230" s="178">
        <v>0.1</v>
      </c>
      <c r="P230" s="201">
        <v>405</v>
      </c>
      <c r="Q230" s="88">
        <v>290</v>
      </c>
      <c r="R230" s="88">
        <v>227</v>
      </c>
      <c r="S230" s="88">
        <v>188</v>
      </c>
      <c r="T230" s="88">
        <v>140</v>
      </c>
      <c r="U230" s="88">
        <v>111</v>
      </c>
      <c r="V230" s="88">
        <v>92</v>
      </c>
      <c r="W230" s="88">
        <v>80</v>
      </c>
      <c r="X230" s="88">
        <v>55</v>
      </c>
      <c r="Y230" s="88">
        <v>43</v>
      </c>
      <c r="Z230" s="179">
        <v>29</v>
      </c>
    </row>
    <row r="231" spans="14:26" x14ac:dyDescent="0.2">
      <c r="O231" s="178">
        <v>0.05</v>
      </c>
      <c r="P231" s="201">
        <v>435</v>
      </c>
      <c r="Q231" s="88">
        <v>313</v>
      </c>
      <c r="R231" s="88">
        <v>247</v>
      </c>
      <c r="S231" s="88">
        <v>204</v>
      </c>
      <c r="T231" s="88">
        <v>153</v>
      </c>
      <c r="U231" s="88">
        <v>122</v>
      </c>
      <c r="V231" s="88">
        <v>102</v>
      </c>
      <c r="W231" s="88">
        <v>88</v>
      </c>
      <c r="X231" s="88">
        <v>62</v>
      </c>
      <c r="Y231" s="88">
        <v>47</v>
      </c>
      <c r="Z231" s="179">
        <v>32</v>
      </c>
    </row>
    <row r="232" spans="14:26" ht="13.5" thickBot="1" x14ac:dyDescent="0.25">
      <c r="O232" s="180">
        <v>3.3000000000000002E-2</v>
      </c>
      <c r="P232" s="201">
        <v>464</v>
      </c>
      <c r="Q232" s="202">
        <v>336</v>
      </c>
      <c r="R232" s="202">
        <v>266</v>
      </c>
      <c r="S232" s="202">
        <v>219</v>
      </c>
      <c r="T232" s="202">
        <v>164</v>
      </c>
      <c r="U232" s="202">
        <v>132</v>
      </c>
      <c r="V232" s="202">
        <v>108</v>
      </c>
      <c r="W232" s="202">
        <v>93</v>
      </c>
      <c r="X232" s="202">
        <v>66</v>
      </c>
      <c r="Y232" s="202">
        <v>50</v>
      </c>
      <c r="Z232" s="179">
        <v>34</v>
      </c>
    </row>
    <row r="233" spans="14:26" x14ac:dyDescent="0.2">
      <c r="O233" s="203">
        <v>0.02</v>
      </c>
      <c r="P233" s="204">
        <f>P232*1.04</f>
        <v>482.56</v>
      </c>
      <c r="Q233" s="205">
        <f>Q232*1.05</f>
        <v>352.8</v>
      </c>
      <c r="R233" s="205">
        <f t="shared" ref="R233:X233" si="72">R232*1.06</f>
        <v>281.96000000000004</v>
      </c>
      <c r="S233" s="205">
        <f t="shared" si="72"/>
        <v>232.14000000000001</v>
      </c>
      <c r="T233" s="205">
        <f t="shared" si="72"/>
        <v>173.84</v>
      </c>
      <c r="U233" s="205">
        <f t="shared" si="72"/>
        <v>139.92000000000002</v>
      </c>
      <c r="V233" s="205">
        <f t="shared" si="72"/>
        <v>114.48</v>
      </c>
      <c r="W233" s="205">
        <f t="shared" si="72"/>
        <v>98.58</v>
      </c>
      <c r="X233" s="205">
        <f t="shared" si="72"/>
        <v>69.960000000000008</v>
      </c>
      <c r="Y233" s="205">
        <f>Y232*1.07</f>
        <v>53.5</v>
      </c>
      <c r="Z233" s="206">
        <f>Z232*1.07</f>
        <v>36.380000000000003</v>
      </c>
    </row>
    <row r="234" spans="14:26" ht="13.5" thickBot="1" x14ac:dyDescent="0.25">
      <c r="O234" s="22">
        <v>0.01</v>
      </c>
      <c r="P234" s="207">
        <f>P232*1.09</f>
        <v>505.76000000000005</v>
      </c>
      <c r="Q234" s="208">
        <f>Q232*1.1</f>
        <v>369.6</v>
      </c>
      <c r="R234" s="208">
        <f>R232*1.11</f>
        <v>295.26000000000005</v>
      </c>
      <c r="S234" s="208">
        <f>S232*1.11</f>
        <v>243.09000000000003</v>
      </c>
      <c r="T234" s="208">
        <f>T232*1.11</f>
        <v>182.04000000000002</v>
      </c>
      <c r="U234" s="208">
        <f>U232*1.12</f>
        <v>147.84</v>
      </c>
      <c r="V234" s="208">
        <f>V232*1.12</f>
        <v>120.96000000000001</v>
      </c>
      <c r="W234" s="208">
        <f>W232*1.12</f>
        <v>104.16000000000001</v>
      </c>
      <c r="X234" s="208">
        <f>X232*1.13</f>
        <v>74.58</v>
      </c>
      <c r="Y234" s="208">
        <f>Y232*1.13</f>
        <v>56.499999999999993</v>
      </c>
      <c r="Z234" s="209">
        <f>Z232*1.14</f>
        <v>38.76</v>
      </c>
    </row>
    <row r="236" spans="14:26" ht="13.5" thickBot="1" x14ac:dyDescent="0.25">
      <c r="N236" s="173">
        <v>22</v>
      </c>
      <c r="O236" s="49" t="s">
        <v>137</v>
      </c>
      <c r="R236" s="197" t="s">
        <v>117</v>
      </c>
    </row>
    <row r="237" spans="14:26" ht="13.5" thickBot="1" x14ac:dyDescent="0.25">
      <c r="O237" s="174" t="s">
        <v>52</v>
      </c>
      <c r="P237" s="175">
        <v>5</v>
      </c>
      <c r="Q237" s="176">
        <v>10</v>
      </c>
      <c r="R237" s="176">
        <v>15</v>
      </c>
      <c r="S237" s="176">
        <v>20</v>
      </c>
      <c r="T237" s="176">
        <v>30</v>
      </c>
      <c r="U237" s="176">
        <v>40</v>
      </c>
      <c r="V237" s="176">
        <v>50</v>
      </c>
      <c r="W237" s="176">
        <v>60</v>
      </c>
      <c r="X237" s="176">
        <v>90</v>
      </c>
      <c r="Y237" s="176">
        <v>120</v>
      </c>
      <c r="Z237" s="177">
        <v>180</v>
      </c>
    </row>
    <row r="238" spans="14:26" x14ac:dyDescent="0.2">
      <c r="O238" s="198">
        <v>1</v>
      </c>
      <c r="P238" s="201">
        <v>255</v>
      </c>
      <c r="Q238" s="88">
        <v>168</v>
      </c>
      <c r="R238" s="88">
        <v>130</v>
      </c>
      <c r="S238" s="88">
        <v>107</v>
      </c>
      <c r="T238" s="88">
        <v>80</v>
      </c>
      <c r="U238" s="88">
        <v>64</v>
      </c>
      <c r="V238" s="88">
        <v>53</v>
      </c>
      <c r="W238" s="88">
        <v>46</v>
      </c>
      <c r="X238" s="88">
        <v>33</v>
      </c>
      <c r="Y238" s="88">
        <v>25</v>
      </c>
      <c r="Z238" s="179">
        <v>17</v>
      </c>
    </row>
    <row r="239" spans="14:26" x14ac:dyDescent="0.2">
      <c r="O239" s="178">
        <v>0.5</v>
      </c>
      <c r="P239" s="201">
        <v>312</v>
      </c>
      <c r="Q239" s="88">
        <v>212</v>
      </c>
      <c r="R239" s="88">
        <v>163</v>
      </c>
      <c r="S239" s="88">
        <v>135</v>
      </c>
      <c r="T239" s="88">
        <v>100</v>
      </c>
      <c r="U239" s="88">
        <v>81</v>
      </c>
      <c r="V239" s="88">
        <v>68</v>
      </c>
      <c r="W239" s="88">
        <v>59</v>
      </c>
      <c r="X239" s="88">
        <v>42</v>
      </c>
      <c r="Y239" s="88">
        <v>33</v>
      </c>
      <c r="Z239" s="179">
        <v>22</v>
      </c>
    </row>
    <row r="240" spans="14:26" x14ac:dyDescent="0.2">
      <c r="O240" s="178">
        <v>0.2</v>
      </c>
      <c r="P240" s="201">
        <v>390</v>
      </c>
      <c r="Q240" s="88">
        <v>270</v>
      </c>
      <c r="R240" s="88">
        <v>207</v>
      </c>
      <c r="S240" s="88">
        <v>170</v>
      </c>
      <c r="T240" s="88">
        <v>128</v>
      </c>
      <c r="U240" s="88">
        <v>103</v>
      </c>
      <c r="V240" s="88">
        <v>86</v>
      </c>
      <c r="W240" s="88">
        <v>75</v>
      </c>
      <c r="X240" s="88">
        <v>54</v>
      </c>
      <c r="Y240" s="88">
        <v>42</v>
      </c>
      <c r="Z240" s="179">
        <v>29</v>
      </c>
    </row>
    <row r="241" spans="14:26" x14ac:dyDescent="0.2">
      <c r="O241" s="178">
        <v>0.1</v>
      </c>
      <c r="P241" s="201">
        <v>445</v>
      </c>
      <c r="Q241" s="88">
        <v>310</v>
      </c>
      <c r="R241" s="88">
        <v>240</v>
      </c>
      <c r="S241" s="88">
        <v>199</v>
      </c>
      <c r="T241" s="88">
        <v>150</v>
      </c>
      <c r="U241" s="88">
        <v>122</v>
      </c>
      <c r="V241" s="88">
        <v>102</v>
      </c>
      <c r="W241" s="88">
        <v>88</v>
      </c>
      <c r="X241" s="88">
        <v>63</v>
      </c>
      <c r="Y241" s="88">
        <v>50</v>
      </c>
      <c r="Z241" s="179">
        <v>34</v>
      </c>
    </row>
    <row r="242" spans="14:26" x14ac:dyDescent="0.2">
      <c r="O242" s="178">
        <v>0.05</v>
      </c>
      <c r="P242" s="201">
        <v>490</v>
      </c>
      <c r="Q242" s="88">
        <v>347</v>
      </c>
      <c r="R242" s="88">
        <v>270</v>
      </c>
      <c r="S242" s="88">
        <v>223</v>
      </c>
      <c r="T242" s="88">
        <v>168</v>
      </c>
      <c r="U242" s="88">
        <v>138</v>
      </c>
      <c r="V242" s="88">
        <v>117</v>
      </c>
      <c r="W242" s="88">
        <v>100</v>
      </c>
      <c r="X242" s="88">
        <v>73</v>
      </c>
      <c r="Y242" s="88">
        <v>58</v>
      </c>
      <c r="Z242" s="179">
        <v>40</v>
      </c>
    </row>
    <row r="243" spans="14:26" ht="13.5" thickBot="1" x14ac:dyDescent="0.25">
      <c r="O243" s="180">
        <v>3.3000000000000002E-2</v>
      </c>
      <c r="P243" s="201">
        <v>520</v>
      </c>
      <c r="Q243" s="202">
        <v>375</v>
      </c>
      <c r="R243" s="202">
        <v>293</v>
      </c>
      <c r="S243" s="202">
        <v>242</v>
      </c>
      <c r="T243" s="202">
        <v>185</v>
      </c>
      <c r="U243" s="202">
        <v>150</v>
      </c>
      <c r="V243" s="202">
        <v>126</v>
      </c>
      <c r="W243" s="202">
        <v>110</v>
      </c>
      <c r="X243" s="202">
        <v>80</v>
      </c>
      <c r="Y243" s="202">
        <v>63</v>
      </c>
      <c r="Z243" s="179">
        <v>44</v>
      </c>
    </row>
    <row r="244" spans="14:26" x14ac:dyDescent="0.2">
      <c r="O244" s="203">
        <v>0.02</v>
      </c>
      <c r="P244" s="204">
        <f>P243*1.04</f>
        <v>540.80000000000007</v>
      </c>
      <c r="Q244" s="205">
        <f>Q243*1.05</f>
        <v>393.75</v>
      </c>
      <c r="R244" s="205">
        <f t="shared" ref="R244:X244" si="73">R243*1.06</f>
        <v>310.58000000000004</v>
      </c>
      <c r="S244" s="205">
        <f t="shared" si="73"/>
        <v>256.52000000000004</v>
      </c>
      <c r="T244" s="205">
        <f t="shared" si="73"/>
        <v>196.10000000000002</v>
      </c>
      <c r="U244" s="205">
        <f t="shared" si="73"/>
        <v>159</v>
      </c>
      <c r="V244" s="205">
        <f t="shared" si="73"/>
        <v>133.56</v>
      </c>
      <c r="W244" s="205">
        <f t="shared" si="73"/>
        <v>116.60000000000001</v>
      </c>
      <c r="X244" s="205">
        <f t="shared" si="73"/>
        <v>84.800000000000011</v>
      </c>
      <c r="Y244" s="205">
        <f>Y243*1.07</f>
        <v>67.410000000000011</v>
      </c>
      <c r="Z244" s="206">
        <f>Z243*1.07</f>
        <v>47.080000000000005</v>
      </c>
    </row>
    <row r="245" spans="14:26" ht="13.5" thickBot="1" x14ac:dyDescent="0.25">
      <c r="O245" s="22">
        <v>0.01</v>
      </c>
      <c r="P245" s="207">
        <f>P243*1.09</f>
        <v>566.80000000000007</v>
      </c>
      <c r="Q245" s="208">
        <f>Q243*1.1</f>
        <v>412.50000000000006</v>
      </c>
      <c r="R245" s="208">
        <f>R243*1.11</f>
        <v>325.23</v>
      </c>
      <c r="S245" s="208">
        <f>S243*1.11</f>
        <v>268.62</v>
      </c>
      <c r="T245" s="208">
        <f>T243*1.11</f>
        <v>205.35000000000002</v>
      </c>
      <c r="U245" s="208">
        <f>U243*1.12</f>
        <v>168.00000000000003</v>
      </c>
      <c r="V245" s="208">
        <f>V243*1.12</f>
        <v>141.12</v>
      </c>
      <c r="W245" s="208">
        <f>W243*1.12</f>
        <v>123.20000000000002</v>
      </c>
      <c r="X245" s="208">
        <f>X243*1.13</f>
        <v>90.399999999999991</v>
      </c>
      <c r="Y245" s="208">
        <f>Y243*1.13</f>
        <v>71.19</v>
      </c>
      <c r="Z245" s="209">
        <f>Z243*1.14</f>
        <v>50.16</v>
      </c>
    </row>
    <row r="247" spans="14:26" ht="13.5" thickBot="1" x14ac:dyDescent="0.25">
      <c r="N247" s="173">
        <v>23</v>
      </c>
      <c r="O247" s="49" t="s">
        <v>138</v>
      </c>
      <c r="R247" s="197" t="s">
        <v>117</v>
      </c>
    </row>
    <row r="248" spans="14:26" ht="13.5" thickBot="1" x14ac:dyDescent="0.25">
      <c r="O248" s="174" t="s">
        <v>52</v>
      </c>
      <c r="P248" s="175">
        <v>5</v>
      </c>
      <c r="Q248" s="176">
        <v>10</v>
      </c>
      <c r="R248" s="176">
        <v>15</v>
      </c>
      <c r="S248" s="176">
        <v>20</v>
      </c>
      <c r="T248" s="176">
        <v>30</v>
      </c>
      <c r="U248" s="176">
        <v>40</v>
      </c>
      <c r="V248" s="176">
        <v>50</v>
      </c>
      <c r="W248" s="176">
        <v>60</v>
      </c>
      <c r="X248" s="176">
        <v>90</v>
      </c>
      <c r="Y248" s="176">
        <v>120</v>
      </c>
      <c r="Z248" s="177">
        <v>180</v>
      </c>
    </row>
    <row r="249" spans="14:26" x14ac:dyDescent="0.2">
      <c r="O249" s="198">
        <v>1</v>
      </c>
      <c r="P249" s="201">
        <v>234</v>
      </c>
      <c r="Q249" s="88">
        <v>158</v>
      </c>
      <c r="R249" s="88">
        <v>122</v>
      </c>
      <c r="S249" s="88">
        <v>100</v>
      </c>
      <c r="T249" s="88">
        <v>76</v>
      </c>
      <c r="U249" s="88">
        <v>62</v>
      </c>
      <c r="V249" s="88">
        <v>51</v>
      </c>
      <c r="W249" s="88">
        <v>44</v>
      </c>
      <c r="X249" s="88">
        <v>32</v>
      </c>
      <c r="Y249" s="88">
        <v>25</v>
      </c>
      <c r="Z249" s="179">
        <v>18</v>
      </c>
    </row>
    <row r="250" spans="14:26" x14ac:dyDescent="0.2">
      <c r="O250" s="178">
        <v>0.5</v>
      </c>
      <c r="P250" s="201">
        <v>280</v>
      </c>
      <c r="Q250" s="88">
        <v>188</v>
      </c>
      <c r="R250" s="88">
        <v>146</v>
      </c>
      <c r="S250" s="88">
        <v>121</v>
      </c>
      <c r="T250" s="88">
        <v>91</v>
      </c>
      <c r="U250" s="88">
        <v>74</v>
      </c>
      <c r="V250" s="88">
        <v>62</v>
      </c>
      <c r="W250" s="88">
        <v>54</v>
      </c>
      <c r="X250" s="88">
        <v>40</v>
      </c>
      <c r="Y250" s="88">
        <v>31</v>
      </c>
      <c r="Z250" s="179">
        <v>21</v>
      </c>
    </row>
    <row r="251" spans="14:26" x14ac:dyDescent="0.2">
      <c r="O251" s="178">
        <v>0.2</v>
      </c>
      <c r="P251" s="201">
        <v>340</v>
      </c>
      <c r="Q251" s="88">
        <v>232</v>
      </c>
      <c r="R251" s="88">
        <v>179</v>
      </c>
      <c r="S251" s="88">
        <v>149</v>
      </c>
      <c r="T251" s="88">
        <v>112</v>
      </c>
      <c r="U251" s="88">
        <v>90</v>
      </c>
      <c r="V251" s="88">
        <v>76</v>
      </c>
      <c r="W251" s="88">
        <v>67</v>
      </c>
      <c r="X251" s="88">
        <v>47</v>
      </c>
      <c r="Y251" s="88">
        <v>37</v>
      </c>
      <c r="Z251" s="179">
        <v>25</v>
      </c>
    </row>
    <row r="252" spans="14:26" x14ac:dyDescent="0.2">
      <c r="O252" s="178">
        <v>0.1</v>
      </c>
      <c r="P252" s="201">
        <v>385</v>
      </c>
      <c r="Q252" s="88">
        <v>263</v>
      </c>
      <c r="R252" s="88">
        <v>203</v>
      </c>
      <c r="S252" s="88">
        <v>168</v>
      </c>
      <c r="T252" s="88">
        <v>127</v>
      </c>
      <c r="U252" s="88">
        <v>103</v>
      </c>
      <c r="V252" s="88">
        <v>86</v>
      </c>
      <c r="W252" s="88">
        <v>75</v>
      </c>
      <c r="X252" s="88">
        <v>54</v>
      </c>
      <c r="Y252" s="88">
        <v>42</v>
      </c>
      <c r="Z252" s="179">
        <v>29</v>
      </c>
    </row>
    <row r="253" spans="14:26" x14ac:dyDescent="0.2">
      <c r="O253" s="178">
        <v>0.05</v>
      </c>
      <c r="P253" s="201">
        <v>432</v>
      </c>
      <c r="Q253" s="88">
        <v>292</v>
      </c>
      <c r="R253" s="88">
        <v>226</v>
      </c>
      <c r="S253" s="88">
        <v>187</v>
      </c>
      <c r="T253" s="88">
        <v>141</v>
      </c>
      <c r="U253" s="88">
        <v>114</v>
      </c>
      <c r="V253" s="88">
        <v>95</v>
      </c>
      <c r="W253" s="88">
        <v>84</v>
      </c>
      <c r="X253" s="88">
        <v>60</v>
      </c>
      <c r="Y253" s="88">
        <v>47</v>
      </c>
      <c r="Z253" s="179">
        <v>33</v>
      </c>
    </row>
    <row r="254" spans="14:26" ht="13.5" thickBot="1" x14ac:dyDescent="0.25">
      <c r="O254" s="180">
        <v>3.3000000000000002E-2</v>
      </c>
      <c r="P254" s="201">
        <v>460</v>
      </c>
      <c r="Q254" s="202">
        <v>313</v>
      </c>
      <c r="R254" s="202">
        <v>240</v>
      </c>
      <c r="S254" s="202">
        <v>198</v>
      </c>
      <c r="T254" s="202">
        <v>148</v>
      </c>
      <c r="U254" s="202">
        <v>120</v>
      </c>
      <c r="V254" s="202">
        <v>100</v>
      </c>
      <c r="W254" s="202">
        <v>87</v>
      </c>
      <c r="X254" s="202">
        <v>63</v>
      </c>
      <c r="Y254" s="202">
        <v>49</v>
      </c>
      <c r="Z254" s="179">
        <v>34</v>
      </c>
    </row>
    <row r="255" spans="14:26" x14ac:dyDescent="0.2">
      <c r="O255" s="203">
        <v>0.02</v>
      </c>
      <c r="P255" s="204">
        <f>P254*1.04</f>
        <v>478.40000000000003</v>
      </c>
      <c r="Q255" s="205">
        <f>Q254*1.05</f>
        <v>328.65000000000003</v>
      </c>
      <c r="R255" s="205">
        <f t="shared" ref="R255:X255" si="74">R254*1.06</f>
        <v>254.4</v>
      </c>
      <c r="S255" s="205">
        <f t="shared" si="74"/>
        <v>209.88000000000002</v>
      </c>
      <c r="T255" s="205">
        <f t="shared" si="74"/>
        <v>156.88</v>
      </c>
      <c r="U255" s="205">
        <f t="shared" si="74"/>
        <v>127.2</v>
      </c>
      <c r="V255" s="205">
        <f t="shared" si="74"/>
        <v>106</v>
      </c>
      <c r="W255" s="205">
        <f t="shared" si="74"/>
        <v>92.22</v>
      </c>
      <c r="X255" s="205">
        <f t="shared" si="74"/>
        <v>66.78</v>
      </c>
      <c r="Y255" s="205">
        <f>Y254*1.07</f>
        <v>52.43</v>
      </c>
      <c r="Z255" s="206">
        <f>Z254*1.07</f>
        <v>36.380000000000003</v>
      </c>
    </row>
    <row r="256" spans="14:26" ht="13.5" thickBot="1" x14ac:dyDescent="0.25">
      <c r="O256" s="22">
        <v>0.01</v>
      </c>
      <c r="P256" s="207">
        <f>P254*1.09</f>
        <v>501.40000000000003</v>
      </c>
      <c r="Q256" s="208">
        <f>Q254*1.1</f>
        <v>344.3</v>
      </c>
      <c r="R256" s="208">
        <f>R254*1.11</f>
        <v>266.40000000000003</v>
      </c>
      <c r="S256" s="208">
        <f>S254*1.11</f>
        <v>219.78000000000003</v>
      </c>
      <c r="T256" s="208">
        <f>T254*1.11</f>
        <v>164.28</v>
      </c>
      <c r="U256" s="208">
        <f>U254*1.12</f>
        <v>134.4</v>
      </c>
      <c r="V256" s="208">
        <f>V254*1.12</f>
        <v>112.00000000000001</v>
      </c>
      <c r="W256" s="208">
        <f>W254*1.12</f>
        <v>97.440000000000012</v>
      </c>
      <c r="X256" s="208">
        <f>X254*1.13</f>
        <v>71.19</v>
      </c>
      <c r="Y256" s="208">
        <f>Y254*1.13</f>
        <v>55.37</v>
      </c>
      <c r="Z256" s="209">
        <f>Z254*1.14</f>
        <v>38.76</v>
      </c>
    </row>
    <row r="258" spans="14:26" ht="13.5" thickBot="1" x14ac:dyDescent="0.25">
      <c r="N258" s="173">
        <v>24</v>
      </c>
      <c r="O258" s="49" t="s">
        <v>139</v>
      </c>
      <c r="R258" s="197" t="s">
        <v>117</v>
      </c>
    </row>
    <row r="259" spans="14:26" ht="13.5" thickBot="1" x14ac:dyDescent="0.25">
      <c r="O259" s="174" t="s">
        <v>52</v>
      </c>
      <c r="P259" s="175">
        <v>5</v>
      </c>
      <c r="Q259" s="176">
        <v>10</v>
      </c>
      <c r="R259" s="176">
        <v>15</v>
      </c>
      <c r="S259" s="176">
        <v>20</v>
      </c>
      <c r="T259" s="176">
        <v>30</v>
      </c>
      <c r="U259" s="176">
        <v>40</v>
      </c>
      <c r="V259" s="176">
        <v>50</v>
      </c>
      <c r="W259" s="176">
        <v>60</v>
      </c>
      <c r="X259" s="176">
        <v>90</v>
      </c>
      <c r="Y259" s="176">
        <v>120</v>
      </c>
      <c r="Z259" s="177">
        <v>180</v>
      </c>
    </row>
    <row r="260" spans="14:26" x14ac:dyDescent="0.2">
      <c r="O260" s="198">
        <v>1</v>
      </c>
      <c r="P260" s="201">
        <v>250</v>
      </c>
      <c r="Q260" s="88">
        <v>174</v>
      </c>
      <c r="R260" s="88">
        <v>134</v>
      </c>
      <c r="S260" s="88">
        <v>110</v>
      </c>
      <c r="T260" s="88">
        <v>80</v>
      </c>
      <c r="U260" s="88">
        <v>64</v>
      </c>
      <c r="V260" s="88">
        <v>52</v>
      </c>
      <c r="W260" s="88">
        <v>44</v>
      </c>
      <c r="X260" s="88">
        <v>30</v>
      </c>
      <c r="Y260" s="88">
        <v>23</v>
      </c>
      <c r="Z260" s="179">
        <v>16</v>
      </c>
    </row>
    <row r="261" spans="14:26" x14ac:dyDescent="0.2">
      <c r="O261" s="178">
        <v>0.5</v>
      </c>
      <c r="P261" s="201">
        <v>290</v>
      </c>
      <c r="Q261" s="88">
        <v>210</v>
      </c>
      <c r="R261" s="88">
        <v>164</v>
      </c>
      <c r="S261" s="88">
        <v>135</v>
      </c>
      <c r="T261" s="88">
        <v>100</v>
      </c>
      <c r="U261" s="88">
        <v>79</v>
      </c>
      <c r="V261" s="88">
        <v>65</v>
      </c>
      <c r="W261" s="88">
        <v>56</v>
      </c>
      <c r="X261" s="88">
        <v>39</v>
      </c>
      <c r="Y261" s="88">
        <v>29</v>
      </c>
      <c r="Z261" s="179">
        <v>19</v>
      </c>
    </row>
    <row r="262" spans="14:26" x14ac:dyDescent="0.2">
      <c r="O262" s="178">
        <v>0.2</v>
      </c>
      <c r="P262" s="201">
        <v>350</v>
      </c>
      <c r="Q262" s="88">
        <v>254</v>
      </c>
      <c r="R262" s="88">
        <v>202</v>
      </c>
      <c r="S262" s="88">
        <v>168</v>
      </c>
      <c r="T262" s="88">
        <v>125</v>
      </c>
      <c r="U262" s="88">
        <v>100</v>
      </c>
      <c r="V262" s="88">
        <v>82</v>
      </c>
      <c r="W262" s="88">
        <v>70</v>
      </c>
      <c r="X262" s="88">
        <v>48</v>
      </c>
      <c r="Y262" s="88">
        <v>38</v>
      </c>
      <c r="Z262" s="179">
        <v>25</v>
      </c>
    </row>
    <row r="263" spans="14:26" x14ac:dyDescent="0.2">
      <c r="O263" s="178">
        <v>0.1</v>
      </c>
      <c r="P263" s="201">
        <v>394</v>
      </c>
      <c r="Q263" s="88">
        <v>289</v>
      </c>
      <c r="R263" s="88">
        <v>230</v>
      </c>
      <c r="S263" s="88">
        <v>193</v>
      </c>
      <c r="T263" s="88">
        <v>147</v>
      </c>
      <c r="U263" s="88">
        <v>117</v>
      </c>
      <c r="V263" s="88">
        <v>96</v>
      </c>
      <c r="W263" s="88">
        <v>82</v>
      </c>
      <c r="X263" s="88">
        <v>57</v>
      </c>
      <c r="Y263" s="88">
        <v>44</v>
      </c>
      <c r="Z263" s="179">
        <v>30</v>
      </c>
    </row>
    <row r="264" spans="14:26" x14ac:dyDescent="0.2">
      <c r="O264" s="178">
        <v>0.05</v>
      </c>
      <c r="P264" s="201">
        <v>420</v>
      </c>
      <c r="Q264" s="88">
        <v>323</v>
      </c>
      <c r="R264" s="88">
        <v>261</v>
      </c>
      <c r="S264" s="88">
        <v>221</v>
      </c>
      <c r="T264" s="88">
        <v>170</v>
      </c>
      <c r="U264" s="88">
        <v>137</v>
      </c>
      <c r="V264" s="88">
        <v>113</v>
      </c>
      <c r="W264" s="88">
        <v>96</v>
      </c>
      <c r="X264" s="88">
        <v>67</v>
      </c>
      <c r="Y264" s="88">
        <v>51</v>
      </c>
      <c r="Z264" s="179">
        <v>34</v>
      </c>
    </row>
    <row r="265" spans="14:26" ht="13.5" thickBot="1" x14ac:dyDescent="0.25">
      <c r="O265" s="180">
        <v>3.3000000000000002E-2</v>
      </c>
      <c r="P265" s="201">
        <v>455</v>
      </c>
      <c r="Q265" s="202">
        <v>351</v>
      </c>
      <c r="R265" s="202">
        <v>273</v>
      </c>
      <c r="S265" s="202">
        <v>239</v>
      </c>
      <c r="T265" s="202">
        <v>181</v>
      </c>
      <c r="U265" s="202">
        <v>147</v>
      </c>
      <c r="V265" s="202">
        <v>122</v>
      </c>
      <c r="W265" s="202">
        <v>104</v>
      </c>
      <c r="X265" s="202">
        <v>72</v>
      </c>
      <c r="Y265" s="202">
        <v>56</v>
      </c>
      <c r="Z265" s="179">
        <v>38</v>
      </c>
    </row>
    <row r="266" spans="14:26" x14ac:dyDescent="0.2">
      <c r="O266" s="203">
        <v>0.02</v>
      </c>
      <c r="P266" s="204">
        <f>P265*1.04</f>
        <v>473.2</v>
      </c>
      <c r="Q266" s="205">
        <f>Q265*1.05</f>
        <v>368.55</v>
      </c>
      <c r="R266" s="205">
        <f t="shared" ref="R266:X266" si="75">R265*1.06</f>
        <v>289.38</v>
      </c>
      <c r="S266" s="205">
        <f t="shared" si="75"/>
        <v>253.34</v>
      </c>
      <c r="T266" s="205">
        <f t="shared" si="75"/>
        <v>191.86</v>
      </c>
      <c r="U266" s="205">
        <f t="shared" si="75"/>
        <v>155.82000000000002</v>
      </c>
      <c r="V266" s="205">
        <f t="shared" si="75"/>
        <v>129.32</v>
      </c>
      <c r="W266" s="205">
        <f t="shared" si="75"/>
        <v>110.24000000000001</v>
      </c>
      <c r="X266" s="205">
        <f t="shared" si="75"/>
        <v>76.320000000000007</v>
      </c>
      <c r="Y266" s="205">
        <f>Y265*1.07</f>
        <v>59.92</v>
      </c>
      <c r="Z266" s="206">
        <f>Z265*1.07</f>
        <v>40.660000000000004</v>
      </c>
    </row>
    <row r="267" spans="14:26" ht="13.5" thickBot="1" x14ac:dyDescent="0.25">
      <c r="O267" s="22">
        <v>0.01</v>
      </c>
      <c r="P267" s="207">
        <f>P265*1.09</f>
        <v>495.95000000000005</v>
      </c>
      <c r="Q267" s="208">
        <f>Q265*1.1</f>
        <v>386.1</v>
      </c>
      <c r="R267" s="208">
        <f>R265*1.11</f>
        <v>303.03000000000003</v>
      </c>
      <c r="S267" s="208">
        <f>S265*1.11</f>
        <v>265.29000000000002</v>
      </c>
      <c r="T267" s="208">
        <f>T265*1.11</f>
        <v>200.91000000000003</v>
      </c>
      <c r="U267" s="208">
        <f>U265*1.12</f>
        <v>164.64000000000001</v>
      </c>
      <c r="V267" s="208">
        <f>V265*1.12</f>
        <v>136.64000000000001</v>
      </c>
      <c r="W267" s="208">
        <f>W265*1.12</f>
        <v>116.48000000000002</v>
      </c>
      <c r="X267" s="208">
        <f>X265*1.13</f>
        <v>81.359999999999985</v>
      </c>
      <c r="Y267" s="208">
        <f>Y265*1.13</f>
        <v>63.279999999999994</v>
      </c>
      <c r="Z267" s="209">
        <f>Z265*1.14</f>
        <v>43.319999999999993</v>
      </c>
    </row>
    <row r="269" spans="14:26" ht="13.5" thickBot="1" x14ac:dyDescent="0.25">
      <c r="N269" s="173">
        <v>25</v>
      </c>
      <c r="O269" s="49" t="s">
        <v>140</v>
      </c>
      <c r="R269" s="197" t="s">
        <v>117</v>
      </c>
    </row>
    <row r="270" spans="14:26" ht="13.5" thickBot="1" x14ac:dyDescent="0.25">
      <c r="O270" s="174" t="s">
        <v>52</v>
      </c>
      <c r="P270" s="175">
        <v>5</v>
      </c>
      <c r="Q270" s="176">
        <v>10</v>
      </c>
      <c r="R270" s="176">
        <v>15</v>
      </c>
      <c r="S270" s="176">
        <v>20</v>
      </c>
      <c r="T270" s="176">
        <v>30</v>
      </c>
      <c r="U270" s="176">
        <v>40</v>
      </c>
      <c r="V270" s="176">
        <v>50</v>
      </c>
      <c r="W270" s="176">
        <v>60</v>
      </c>
      <c r="X270" s="176">
        <v>90</v>
      </c>
      <c r="Y270" s="176">
        <v>120</v>
      </c>
      <c r="Z270" s="177">
        <v>180</v>
      </c>
    </row>
    <row r="271" spans="14:26" x14ac:dyDescent="0.2">
      <c r="O271" s="198">
        <v>1</v>
      </c>
      <c r="P271" s="201">
        <v>222</v>
      </c>
      <c r="Q271" s="88">
        <v>168</v>
      </c>
      <c r="R271" s="88">
        <v>138</v>
      </c>
      <c r="S271" s="88">
        <v>118</v>
      </c>
      <c r="T271" s="88">
        <v>93</v>
      </c>
      <c r="U271" s="88">
        <v>78</v>
      </c>
      <c r="V271" s="88">
        <v>67</v>
      </c>
      <c r="W271" s="88">
        <v>59</v>
      </c>
      <c r="X271" s="88">
        <v>44</v>
      </c>
      <c r="Y271" s="88">
        <v>35</v>
      </c>
      <c r="Z271" s="179">
        <v>24</v>
      </c>
    </row>
    <row r="272" spans="14:26" x14ac:dyDescent="0.2">
      <c r="O272" s="178">
        <v>0.5</v>
      </c>
      <c r="P272" s="201">
        <v>253</v>
      </c>
      <c r="Q272" s="88">
        <v>198</v>
      </c>
      <c r="R272" s="88">
        <v>166</v>
      </c>
      <c r="S272" s="88">
        <v>144</v>
      </c>
      <c r="T272" s="88">
        <v>115</v>
      </c>
      <c r="U272" s="88">
        <v>96</v>
      </c>
      <c r="V272" s="88">
        <v>82</v>
      </c>
      <c r="W272" s="88">
        <v>73</v>
      </c>
      <c r="X272" s="88">
        <v>54</v>
      </c>
      <c r="Y272" s="88">
        <v>44</v>
      </c>
      <c r="Z272" s="179">
        <v>31</v>
      </c>
    </row>
    <row r="273" spans="14:26" x14ac:dyDescent="0.2">
      <c r="O273" s="178">
        <v>0.2</v>
      </c>
      <c r="P273" s="201">
        <v>300</v>
      </c>
      <c r="Q273" s="88">
        <v>240</v>
      </c>
      <c r="R273" s="88">
        <v>202</v>
      </c>
      <c r="S273" s="88">
        <v>176</v>
      </c>
      <c r="T273" s="88">
        <v>143</v>
      </c>
      <c r="U273" s="88">
        <v>122</v>
      </c>
      <c r="V273" s="88">
        <v>106</v>
      </c>
      <c r="W273" s="88">
        <v>95</v>
      </c>
      <c r="X273" s="88">
        <v>71</v>
      </c>
      <c r="Y273" s="88">
        <v>57</v>
      </c>
      <c r="Z273" s="179">
        <v>41</v>
      </c>
    </row>
    <row r="274" spans="14:26" x14ac:dyDescent="0.2">
      <c r="O274" s="178">
        <v>0.1</v>
      </c>
      <c r="P274" s="201">
        <v>345</v>
      </c>
      <c r="Q274" s="88">
        <v>270</v>
      </c>
      <c r="R274" s="88">
        <v>228</v>
      </c>
      <c r="S274" s="88">
        <v>200</v>
      </c>
      <c r="T274" s="88">
        <v>163</v>
      </c>
      <c r="U274" s="88">
        <v>140</v>
      </c>
      <c r="V274" s="88">
        <v>123</v>
      </c>
      <c r="W274" s="88">
        <v>110</v>
      </c>
      <c r="X274" s="88">
        <v>83</v>
      </c>
      <c r="Y274" s="88">
        <v>68</v>
      </c>
      <c r="Z274" s="179">
        <v>49</v>
      </c>
    </row>
    <row r="275" spans="14:26" ht="13.5" thickBot="1" x14ac:dyDescent="0.25">
      <c r="O275" s="180">
        <v>0.05</v>
      </c>
      <c r="P275" s="201">
        <v>385</v>
      </c>
      <c r="Q275" s="88">
        <v>299</v>
      </c>
      <c r="R275" s="88">
        <v>250</v>
      </c>
      <c r="S275" s="88">
        <v>220</v>
      </c>
      <c r="T275" s="88">
        <v>180</v>
      </c>
      <c r="U275" s="88">
        <v>156</v>
      </c>
      <c r="V275" s="88">
        <v>138</v>
      </c>
      <c r="W275" s="88">
        <v>125</v>
      </c>
      <c r="X275" s="88">
        <v>94</v>
      </c>
      <c r="Y275" s="88">
        <v>77</v>
      </c>
      <c r="Z275" s="179">
        <v>55</v>
      </c>
    </row>
    <row r="276" spans="14:26" x14ac:dyDescent="0.2">
      <c r="O276" s="210">
        <v>3.3000000000000002E-2</v>
      </c>
      <c r="P276" s="204">
        <f>P275*1.08</f>
        <v>415.8</v>
      </c>
      <c r="Q276" s="205">
        <f>Q275*1.07</f>
        <v>319.93</v>
      </c>
      <c r="R276" s="205">
        <f>R275*1.07</f>
        <v>267.5</v>
      </c>
      <c r="S276" s="205">
        <f>S275*1.07</f>
        <v>235.4</v>
      </c>
      <c r="T276" s="205">
        <f>T275*1.08</f>
        <v>194.4</v>
      </c>
      <c r="U276" s="205">
        <f>U275*1.09</f>
        <v>170.04000000000002</v>
      </c>
      <c r="V276" s="205">
        <f>V275*1.1</f>
        <v>151.80000000000001</v>
      </c>
      <c r="W276" s="205">
        <f>W275*1.1</f>
        <v>137.5</v>
      </c>
      <c r="X276" s="205">
        <f>X275*1.11</f>
        <v>104.34</v>
      </c>
      <c r="Y276" s="205">
        <f>Y275*1.2</f>
        <v>92.399999999999991</v>
      </c>
      <c r="Z276" s="206">
        <f>Z275*1.13</f>
        <v>62.149999999999991</v>
      </c>
    </row>
    <row r="277" spans="14:26" x14ac:dyDescent="0.2">
      <c r="O277" s="210">
        <v>0.02</v>
      </c>
      <c r="P277" s="214">
        <f>P275*1.11</f>
        <v>427.35</v>
      </c>
      <c r="Q277" s="215">
        <f>Q275*1.11</f>
        <v>331.89000000000004</v>
      </c>
      <c r="R277" s="215">
        <f>R275*1.11</f>
        <v>277.5</v>
      </c>
      <c r="S277" s="215">
        <f>S275*1.11</f>
        <v>244.20000000000002</v>
      </c>
      <c r="T277" s="215">
        <f>T275*1.13</f>
        <v>203.39999999999998</v>
      </c>
      <c r="U277" s="215">
        <f>U275*1.13</f>
        <v>176.27999999999997</v>
      </c>
      <c r="V277" s="215">
        <f>V275*1.14</f>
        <v>157.32</v>
      </c>
      <c r="W277" s="215">
        <f>W275*1.14</f>
        <v>142.5</v>
      </c>
      <c r="X277" s="215">
        <f>X275*1.16</f>
        <v>109.03999999999999</v>
      </c>
      <c r="Y277" s="215">
        <f>Y275*1.16</f>
        <v>89.32</v>
      </c>
      <c r="Z277" s="216">
        <f>Z275*1.17</f>
        <v>64.349999999999994</v>
      </c>
    </row>
    <row r="278" spans="14:26" ht="13.5" thickBot="1" x14ac:dyDescent="0.25">
      <c r="O278" s="22">
        <v>0.01</v>
      </c>
      <c r="P278" s="207">
        <f>P275*1.17</f>
        <v>450.45</v>
      </c>
      <c r="Q278" s="208">
        <f>Q275*1.18</f>
        <v>352.82</v>
      </c>
      <c r="R278" s="208">
        <f>R275*1.2</f>
        <v>300</v>
      </c>
      <c r="S278" s="208">
        <f>S275*1.19</f>
        <v>261.8</v>
      </c>
      <c r="T278" s="208">
        <f>T275*1.21</f>
        <v>217.79999999999998</v>
      </c>
      <c r="U278" s="208">
        <f>U275*1.22</f>
        <v>190.32</v>
      </c>
      <c r="V278" s="208">
        <f>V275*1.19</f>
        <v>164.22</v>
      </c>
      <c r="W278" s="208">
        <f>W275*1.19</f>
        <v>148.75</v>
      </c>
      <c r="X278" s="208">
        <f>X275*1.19</f>
        <v>111.86</v>
      </c>
      <c r="Y278" s="208">
        <f>Y275*1.19</f>
        <v>91.63</v>
      </c>
      <c r="Z278" s="209">
        <f>Z275*1.19</f>
        <v>65.45</v>
      </c>
    </row>
    <row r="280" spans="14:26" ht="13.5" thickBot="1" x14ac:dyDescent="0.25">
      <c r="N280" s="173">
        <v>26</v>
      </c>
      <c r="O280" s="49" t="s">
        <v>141</v>
      </c>
      <c r="R280" s="197" t="s">
        <v>117</v>
      </c>
    </row>
    <row r="281" spans="14:26" ht="13.5" thickBot="1" x14ac:dyDescent="0.25">
      <c r="O281" s="174" t="s">
        <v>52</v>
      </c>
      <c r="P281" s="175">
        <v>5</v>
      </c>
      <c r="Q281" s="176">
        <v>10</v>
      </c>
      <c r="R281" s="176">
        <v>15</v>
      </c>
      <c r="S281" s="176">
        <v>20</v>
      </c>
      <c r="T281" s="176">
        <v>30</v>
      </c>
      <c r="U281" s="176">
        <v>40</v>
      </c>
      <c r="V281" s="176">
        <v>50</v>
      </c>
      <c r="W281" s="176">
        <v>60</v>
      </c>
      <c r="X281" s="176">
        <v>90</v>
      </c>
      <c r="Y281" s="176">
        <v>120</v>
      </c>
      <c r="Z281" s="177">
        <v>180</v>
      </c>
    </row>
    <row r="282" spans="14:26" x14ac:dyDescent="0.2">
      <c r="O282" s="198">
        <v>1</v>
      </c>
      <c r="P282" s="201">
        <v>226</v>
      </c>
      <c r="Q282" s="88">
        <v>147</v>
      </c>
      <c r="R282" s="88">
        <v>112</v>
      </c>
      <c r="S282" s="88">
        <v>91</v>
      </c>
      <c r="T282" s="88">
        <v>68</v>
      </c>
      <c r="U282" s="88">
        <v>54</v>
      </c>
      <c r="V282" s="88">
        <v>45</v>
      </c>
      <c r="W282" s="88">
        <v>39</v>
      </c>
      <c r="X282" s="88">
        <v>27</v>
      </c>
      <c r="Y282" s="88">
        <v>21</v>
      </c>
      <c r="Z282" s="179">
        <v>14</v>
      </c>
    </row>
    <row r="283" spans="14:26" x14ac:dyDescent="0.2">
      <c r="O283" s="178">
        <v>0.5</v>
      </c>
      <c r="P283" s="201">
        <v>270</v>
      </c>
      <c r="Q283" s="88">
        <v>179</v>
      </c>
      <c r="R283" s="88">
        <v>138</v>
      </c>
      <c r="S283" s="88">
        <v>114</v>
      </c>
      <c r="T283" s="88">
        <v>85</v>
      </c>
      <c r="U283" s="88">
        <v>68</v>
      </c>
      <c r="V283" s="88">
        <v>58</v>
      </c>
      <c r="W283" s="88">
        <v>50</v>
      </c>
      <c r="X283" s="88">
        <v>36</v>
      </c>
      <c r="Y283" s="88">
        <v>28</v>
      </c>
      <c r="Z283" s="179">
        <v>20</v>
      </c>
    </row>
    <row r="284" spans="14:26" x14ac:dyDescent="0.2">
      <c r="O284" s="178">
        <v>0.2</v>
      </c>
      <c r="P284" s="201">
        <v>338</v>
      </c>
      <c r="Q284" s="88">
        <v>227</v>
      </c>
      <c r="R284" s="88">
        <v>175</v>
      </c>
      <c r="S284" s="88">
        <v>144</v>
      </c>
      <c r="T284" s="88">
        <v>108</v>
      </c>
      <c r="U284" s="88">
        <v>86</v>
      </c>
      <c r="V284" s="88">
        <v>72</v>
      </c>
      <c r="W284" s="88">
        <v>62</v>
      </c>
      <c r="X284" s="88">
        <v>45</v>
      </c>
      <c r="Y284" s="88">
        <v>36</v>
      </c>
      <c r="Z284" s="179">
        <v>25</v>
      </c>
    </row>
    <row r="285" spans="14:26" x14ac:dyDescent="0.2">
      <c r="O285" s="178">
        <v>0.1</v>
      </c>
      <c r="P285" s="201">
        <v>378</v>
      </c>
      <c r="Q285" s="88">
        <v>253</v>
      </c>
      <c r="R285" s="88">
        <v>197</v>
      </c>
      <c r="S285" s="88">
        <v>162</v>
      </c>
      <c r="T285" s="88">
        <v>122</v>
      </c>
      <c r="U285" s="88">
        <v>98</v>
      </c>
      <c r="V285" s="88">
        <v>83</v>
      </c>
      <c r="W285" s="88">
        <v>73</v>
      </c>
      <c r="X285" s="88">
        <v>53</v>
      </c>
      <c r="Y285" s="88">
        <v>42</v>
      </c>
      <c r="Z285" s="179">
        <v>30</v>
      </c>
    </row>
    <row r="286" spans="14:26" x14ac:dyDescent="0.2">
      <c r="O286" s="178">
        <v>0.05</v>
      </c>
      <c r="P286" s="201">
        <v>420</v>
      </c>
      <c r="Q286" s="88">
        <v>285</v>
      </c>
      <c r="R286" s="88">
        <v>223</v>
      </c>
      <c r="S286" s="88">
        <v>187</v>
      </c>
      <c r="T286" s="88">
        <v>142</v>
      </c>
      <c r="U286" s="88">
        <v>115</v>
      </c>
      <c r="V286" s="88">
        <v>96</v>
      </c>
      <c r="W286" s="88">
        <v>84</v>
      </c>
      <c r="X286" s="88">
        <v>61</v>
      </c>
      <c r="Y286" s="88">
        <v>49</v>
      </c>
      <c r="Z286" s="179">
        <v>36</v>
      </c>
    </row>
    <row r="287" spans="14:26" x14ac:dyDescent="0.2">
      <c r="O287" s="178">
        <v>3.3000000000000002E-2</v>
      </c>
      <c r="P287" s="201">
        <v>451</v>
      </c>
      <c r="Q287" s="88">
        <v>312</v>
      </c>
      <c r="R287" s="88">
        <v>247</v>
      </c>
      <c r="S287" s="88">
        <v>207</v>
      </c>
      <c r="T287" s="88">
        <v>158</v>
      </c>
      <c r="U287" s="88">
        <v>131</v>
      </c>
      <c r="V287" s="88">
        <v>112</v>
      </c>
      <c r="W287" s="88">
        <v>97</v>
      </c>
      <c r="X287" s="88">
        <v>71</v>
      </c>
      <c r="Y287" s="88">
        <v>56</v>
      </c>
      <c r="Z287" s="179">
        <v>40</v>
      </c>
    </row>
    <row r="288" spans="14:26" x14ac:dyDescent="0.2">
      <c r="O288" s="178">
        <v>0.02</v>
      </c>
      <c r="P288" s="201">
        <v>470</v>
      </c>
      <c r="Q288" s="88">
        <v>334</v>
      </c>
      <c r="R288" s="88">
        <v>264</v>
      </c>
      <c r="S288" s="88">
        <v>220</v>
      </c>
      <c r="T288" s="88">
        <v>169</v>
      </c>
      <c r="U288" s="88">
        <v>138</v>
      </c>
      <c r="V288" s="88">
        <v>118</v>
      </c>
      <c r="W288" s="88">
        <v>102</v>
      </c>
      <c r="X288" s="88">
        <v>75</v>
      </c>
      <c r="Y288" s="88">
        <v>60</v>
      </c>
      <c r="Z288" s="179">
        <v>43</v>
      </c>
    </row>
    <row r="289" spans="14:26" ht="13.5" thickBot="1" x14ac:dyDescent="0.25">
      <c r="O289" s="180">
        <v>0.01</v>
      </c>
      <c r="P289" s="220">
        <v>492</v>
      </c>
      <c r="Q289" s="221">
        <v>350</v>
      </c>
      <c r="R289" s="221">
        <v>278</v>
      </c>
      <c r="S289" s="221">
        <v>232</v>
      </c>
      <c r="T289" s="221">
        <v>179</v>
      </c>
      <c r="U289" s="221">
        <v>147</v>
      </c>
      <c r="V289" s="221">
        <v>125</v>
      </c>
      <c r="W289" s="221">
        <v>109</v>
      </c>
      <c r="X289" s="221">
        <v>80</v>
      </c>
      <c r="Y289" s="221">
        <v>64</v>
      </c>
      <c r="Z289" s="222">
        <v>46</v>
      </c>
    </row>
    <row r="291" spans="14:26" ht="13.5" thickBot="1" x14ac:dyDescent="0.25">
      <c r="N291" s="173">
        <v>27</v>
      </c>
      <c r="O291" s="49" t="s">
        <v>142</v>
      </c>
      <c r="R291" s="197" t="s">
        <v>117</v>
      </c>
    </row>
    <row r="292" spans="14:26" ht="13.5" thickBot="1" x14ac:dyDescent="0.25">
      <c r="O292" s="174" t="s">
        <v>52</v>
      </c>
      <c r="P292" s="175">
        <v>5</v>
      </c>
      <c r="Q292" s="176">
        <v>10</v>
      </c>
      <c r="R292" s="176">
        <v>15</v>
      </c>
      <c r="S292" s="176">
        <v>20</v>
      </c>
      <c r="T292" s="176">
        <v>30</v>
      </c>
      <c r="U292" s="176">
        <v>40</v>
      </c>
      <c r="V292" s="176">
        <v>50</v>
      </c>
      <c r="W292" s="176">
        <v>60</v>
      </c>
      <c r="X292" s="176">
        <v>90</v>
      </c>
      <c r="Y292" s="176">
        <v>120</v>
      </c>
      <c r="Z292" s="177">
        <v>180</v>
      </c>
    </row>
    <row r="293" spans="14:26" x14ac:dyDescent="0.2">
      <c r="O293" s="198">
        <v>1</v>
      </c>
      <c r="P293" s="201">
        <v>252</v>
      </c>
      <c r="Q293" s="88">
        <v>162</v>
      </c>
      <c r="R293" s="88">
        <v>124</v>
      </c>
      <c r="S293" s="88">
        <v>102</v>
      </c>
      <c r="T293" s="88">
        <v>77</v>
      </c>
      <c r="U293" s="88">
        <v>63</v>
      </c>
      <c r="V293" s="88">
        <v>54</v>
      </c>
      <c r="W293" s="88">
        <v>47</v>
      </c>
      <c r="X293" s="88">
        <v>34</v>
      </c>
      <c r="Y293" s="88">
        <v>27</v>
      </c>
      <c r="Z293" s="179">
        <v>19</v>
      </c>
    </row>
    <row r="294" spans="14:26" x14ac:dyDescent="0.2">
      <c r="O294" s="178">
        <v>0.5</v>
      </c>
      <c r="P294" s="201">
        <v>332</v>
      </c>
      <c r="Q294" s="88">
        <v>221</v>
      </c>
      <c r="R294" s="88">
        <v>172</v>
      </c>
      <c r="S294" s="88">
        <v>142</v>
      </c>
      <c r="T294" s="88">
        <v>107</v>
      </c>
      <c r="U294" s="88">
        <v>86</v>
      </c>
      <c r="V294" s="88">
        <v>72</v>
      </c>
      <c r="W294" s="88">
        <v>63</v>
      </c>
      <c r="X294" s="88">
        <v>45</v>
      </c>
      <c r="Y294" s="88">
        <v>36</v>
      </c>
      <c r="Z294" s="179">
        <v>25</v>
      </c>
    </row>
    <row r="295" spans="14:26" x14ac:dyDescent="0.2">
      <c r="O295" s="178">
        <v>0.2</v>
      </c>
      <c r="P295" s="201">
        <v>471</v>
      </c>
      <c r="Q295" s="88">
        <v>320</v>
      </c>
      <c r="R295" s="88">
        <v>246</v>
      </c>
      <c r="S295" s="88">
        <v>203</v>
      </c>
      <c r="T295" s="88">
        <v>153</v>
      </c>
      <c r="U295" s="88">
        <v>124</v>
      </c>
      <c r="V295" s="88">
        <v>103</v>
      </c>
      <c r="W295" s="88">
        <v>89</v>
      </c>
      <c r="X295" s="88">
        <v>63</v>
      </c>
      <c r="Y295" s="88">
        <v>49</v>
      </c>
      <c r="Z295" s="179">
        <v>34</v>
      </c>
    </row>
    <row r="296" spans="14:26" x14ac:dyDescent="0.2">
      <c r="O296" s="178">
        <v>0.1</v>
      </c>
      <c r="P296" s="201">
        <v>580</v>
      </c>
      <c r="Q296" s="88">
        <v>400</v>
      </c>
      <c r="R296" s="88">
        <v>312</v>
      </c>
      <c r="S296" s="88">
        <v>256</v>
      </c>
      <c r="T296" s="88">
        <v>193</v>
      </c>
      <c r="U296" s="88">
        <v>157</v>
      </c>
      <c r="V296" s="88">
        <v>132</v>
      </c>
      <c r="W296" s="88">
        <v>113</v>
      </c>
      <c r="X296" s="88">
        <v>82</v>
      </c>
      <c r="Y296" s="88">
        <v>64</v>
      </c>
      <c r="Z296" s="179">
        <v>43</v>
      </c>
    </row>
    <row r="297" spans="14:26" x14ac:dyDescent="0.2">
      <c r="O297" s="178">
        <v>0.05</v>
      </c>
      <c r="P297" s="201">
        <v>702</v>
      </c>
      <c r="Q297" s="88">
        <v>499</v>
      </c>
      <c r="R297" s="88">
        <v>389</v>
      </c>
      <c r="S297" s="88">
        <v>317</v>
      </c>
      <c r="T297" s="88">
        <v>240</v>
      </c>
      <c r="U297" s="88">
        <v>193</v>
      </c>
      <c r="V297" s="88">
        <v>162</v>
      </c>
      <c r="W297" s="88">
        <v>140</v>
      </c>
      <c r="X297" s="88">
        <v>99</v>
      </c>
      <c r="Y297" s="88">
        <v>78</v>
      </c>
      <c r="Z297" s="179">
        <v>53</v>
      </c>
    </row>
    <row r="298" spans="14:26" ht="13.5" thickBot="1" x14ac:dyDescent="0.25">
      <c r="O298" s="180">
        <v>3.3000000000000002E-2</v>
      </c>
      <c r="P298" s="201">
        <v>780</v>
      </c>
      <c r="Q298" s="202">
        <v>552</v>
      </c>
      <c r="R298" s="202">
        <v>433</v>
      </c>
      <c r="S298" s="202">
        <v>356</v>
      </c>
      <c r="T298" s="202">
        <v>268</v>
      </c>
      <c r="U298" s="202">
        <v>217</v>
      </c>
      <c r="V298" s="202">
        <v>180</v>
      </c>
      <c r="W298" s="202">
        <v>155</v>
      </c>
      <c r="X298" s="202">
        <v>110</v>
      </c>
      <c r="Y298" s="202">
        <v>86</v>
      </c>
      <c r="Z298" s="179">
        <v>58</v>
      </c>
    </row>
    <row r="299" spans="14:26" x14ac:dyDescent="0.2">
      <c r="O299" s="203">
        <v>0.02</v>
      </c>
      <c r="P299" s="204">
        <f>P298*1.04</f>
        <v>811.2</v>
      </c>
      <c r="Q299" s="205">
        <f>Q298*1.05</f>
        <v>579.6</v>
      </c>
      <c r="R299" s="205">
        <f t="shared" ref="R299:X299" si="76">R298*1.06</f>
        <v>458.98</v>
      </c>
      <c r="S299" s="205">
        <f t="shared" si="76"/>
        <v>377.36</v>
      </c>
      <c r="T299" s="205">
        <f t="shared" si="76"/>
        <v>284.08000000000004</v>
      </c>
      <c r="U299" s="205">
        <f t="shared" si="76"/>
        <v>230.02</v>
      </c>
      <c r="V299" s="205">
        <f t="shared" si="76"/>
        <v>190.8</v>
      </c>
      <c r="W299" s="205">
        <f t="shared" si="76"/>
        <v>164.3</v>
      </c>
      <c r="X299" s="205">
        <f t="shared" si="76"/>
        <v>116.60000000000001</v>
      </c>
      <c r="Y299" s="205">
        <f>Y298*1.07</f>
        <v>92.02000000000001</v>
      </c>
      <c r="Z299" s="206">
        <f>Z298*1.07</f>
        <v>62.06</v>
      </c>
    </row>
    <row r="300" spans="14:26" ht="13.5" thickBot="1" x14ac:dyDescent="0.25">
      <c r="O300" s="22">
        <v>0.01</v>
      </c>
      <c r="P300" s="207">
        <f>P298*1.09</f>
        <v>850.2</v>
      </c>
      <c r="Q300" s="208">
        <f>Q298*1.1</f>
        <v>607.20000000000005</v>
      </c>
      <c r="R300" s="208">
        <f>R298*1.11</f>
        <v>480.63000000000005</v>
      </c>
      <c r="S300" s="208">
        <f>S298*1.11</f>
        <v>395.16</v>
      </c>
      <c r="T300" s="208">
        <f>T298*1.11</f>
        <v>297.48</v>
      </c>
      <c r="U300" s="208">
        <f>U298*1.12</f>
        <v>243.04000000000002</v>
      </c>
      <c r="V300" s="208">
        <f>V298*1.12</f>
        <v>201.60000000000002</v>
      </c>
      <c r="W300" s="208">
        <f>W298*1.12</f>
        <v>173.60000000000002</v>
      </c>
      <c r="X300" s="208">
        <f>X298*1.13</f>
        <v>124.29999999999998</v>
      </c>
      <c r="Y300" s="208">
        <f>Y298*1.13</f>
        <v>97.179999999999993</v>
      </c>
      <c r="Z300" s="209">
        <f>Z298*1.14</f>
        <v>66.11999999999999</v>
      </c>
    </row>
    <row r="302" spans="14:26" ht="13.5" thickBot="1" x14ac:dyDescent="0.25">
      <c r="N302" s="173">
        <v>28</v>
      </c>
      <c r="O302" s="49" t="s">
        <v>143</v>
      </c>
      <c r="R302" s="197" t="s">
        <v>117</v>
      </c>
    </row>
    <row r="303" spans="14:26" ht="13.5" thickBot="1" x14ac:dyDescent="0.25">
      <c r="O303" s="174" t="s">
        <v>52</v>
      </c>
      <c r="P303" s="175">
        <v>5</v>
      </c>
      <c r="Q303" s="176">
        <v>10</v>
      </c>
      <c r="R303" s="176">
        <v>15</v>
      </c>
      <c r="S303" s="176">
        <v>20</v>
      </c>
      <c r="T303" s="176">
        <v>30</v>
      </c>
      <c r="U303" s="176">
        <v>40</v>
      </c>
      <c r="V303" s="176">
        <v>50</v>
      </c>
      <c r="W303" s="176">
        <v>60</v>
      </c>
      <c r="X303" s="176">
        <v>90</v>
      </c>
      <c r="Y303" s="176">
        <v>120</v>
      </c>
      <c r="Z303" s="177">
        <v>180</v>
      </c>
    </row>
    <row r="304" spans="14:26" x14ac:dyDescent="0.2">
      <c r="O304" s="198">
        <v>1</v>
      </c>
      <c r="P304" s="201">
        <v>270</v>
      </c>
      <c r="Q304" s="88">
        <v>176</v>
      </c>
      <c r="R304" s="88">
        <v>136</v>
      </c>
      <c r="S304" s="88">
        <v>112</v>
      </c>
      <c r="T304" s="88">
        <v>84</v>
      </c>
      <c r="U304" s="88">
        <v>67</v>
      </c>
      <c r="V304" s="88">
        <v>56</v>
      </c>
      <c r="W304" s="88">
        <v>48</v>
      </c>
      <c r="X304" s="88">
        <v>35</v>
      </c>
      <c r="Y304" s="88">
        <v>27</v>
      </c>
      <c r="Z304" s="179">
        <v>18</v>
      </c>
    </row>
    <row r="305" spans="14:26" x14ac:dyDescent="0.2">
      <c r="O305" s="178">
        <v>0.5</v>
      </c>
      <c r="P305" s="201">
        <v>330</v>
      </c>
      <c r="Q305" s="88">
        <v>219</v>
      </c>
      <c r="R305" s="88">
        <v>168</v>
      </c>
      <c r="S305" s="88">
        <v>139</v>
      </c>
      <c r="T305" s="88">
        <v>104</v>
      </c>
      <c r="U305" s="88">
        <v>84</v>
      </c>
      <c r="V305" s="88">
        <v>70</v>
      </c>
      <c r="W305" s="88">
        <v>60</v>
      </c>
      <c r="X305" s="88">
        <v>44</v>
      </c>
      <c r="Y305" s="88">
        <v>34</v>
      </c>
      <c r="Z305" s="179">
        <v>23</v>
      </c>
    </row>
    <row r="306" spans="14:26" x14ac:dyDescent="0.2">
      <c r="O306" s="178">
        <v>0.2</v>
      </c>
      <c r="P306" s="201">
        <v>400</v>
      </c>
      <c r="Q306" s="88">
        <v>274</v>
      </c>
      <c r="R306" s="88">
        <v>212</v>
      </c>
      <c r="S306" s="88">
        <v>176</v>
      </c>
      <c r="T306" s="88">
        <v>133</v>
      </c>
      <c r="U306" s="88">
        <v>107</v>
      </c>
      <c r="V306" s="88">
        <v>88</v>
      </c>
      <c r="W306" s="88">
        <v>76</v>
      </c>
      <c r="X306" s="88">
        <v>54</v>
      </c>
      <c r="Y306" s="88">
        <v>42</v>
      </c>
      <c r="Z306" s="179">
        <v>29</v>
      </c>
    </row>
    <row r="307" spans="14:26" x14ac:dyDescent="0.2">
      <c r="O307" s="178">
        <v>0.1</v>
      </c>
      <c r="P307" s="201">
        <v>450</v>
      </c>
      <c r="Q307" s="88">
        <v>315</v>
      </c>
      <c r="R307" s="88">
        <v>248</v>
      </c>
      <c r="S307" s="88">
        <v>205</v>
      </c>
      <c r="T307" s="88">
        <v>156</v>
      </c>
      <c r="U307" s="88">
        <v>127</v>
      </c>
      <c r="V307" s="88">
        <v>105</v>
      </c>
      <c r="W307" s="88">
        <v>90</v>
      </c>
      <c r="X307" s="88">
        <v>64</v>
      </c>
      <c r="Y307" s="88">
        <v>49</v>
      </c>
      <c r="Z307" s="179">
        <v>34</v>
      </c>
    </row>
    <row r="308" spans="14:26" x14ac:dyDescent="0.2">
      <c r="O308" s="178">
        <v>0.05</v>
      </c>
      <c r="P308" s="201">
        <v>485</v>
      </c>
      <c r="Q308" s="88">
        <v>353</v>
      </c>
      <c r="R308" s="88">
        <v>280</v>
      </c>
      <c r="S308" s="88">
        <v>234</v>
      </c>
      <c r="T308" s="88">
        <v>180</v>
      </c>
      <c r="U308" s="88">
        <v>145</v>
      </c>
      <c r="V308" s="88">
        <v>120</v>
      </c>
      <c r="W308" s="88">
        <v>104</v>
      </c>
      <c r="X308" s="88">
        <v>74</v>
      </c>
      <c r="Y308" s="88">
        <v>57</v>
      </c>
      <c r="Z308" s="179">
        <v>39</v>
      </c>
    </row>
    <row r="309" spans="14:26" x14ac:dyDescent="0.2">
      <c r="O309" s="178">
        <v>3.3000000000000002E-2</v>
      </c>
      <c r="P309" s="201">
        <v>500</v>
      </c>
      <c r="Q309" s="88">
        <v>373</v>
      </c>
      <c r="R309" s="88">
        <v>300</v>
      </c>
      <c r="S309" s="88">
        <v>251</v>
      </c>
      <c r="T309" s="88">
        <v>194</v>
      </c>
      <c r="U309" s="88">
        <v>155</v>
      </c>
      <c r="V309" s="88">
        <v>130</v>
      </c>
      <c r="W309" s="88">
        <v>113</v>
      </c>
      <c r="X309" s="88">
        <v>80</v>
      </c>
      <c r="Y309" s="88">
        <v>62</v>
      </c>
      <c r="Z309" s="179">
        <v>43</v>
      </c>
    </row>
    <row r="310" spans="14:26" ht="13.5" thickBot="1" x14ac:dyDescent="0.25">
      <c r="O310" s="180">
        <v>0.02</v>
      </c>
      <c r="P310" s="211">
        <v>507</v>
      </c>
      <c r="Q310" s="212">
        <v>389</v>
      </c>
      <c r="R310" s="212">
        <v>313</v>
      </c>
      <c r="S310" s="212">
        <v>262</v>
      </c>
      <c r="T310" s="212">
        <v>200</v>
      </c>
      <c r="U310" s="212">
        <v>162</v>
      </c>
      <c r="V310" s="212">
        <v>137</v>
      </c>
      <c r="W310" s="212">
        <v>118</v>
      </c>
      <c r="X310" s="212">
        <v>85</v>
      </c>
      <c r="Y310" s="212">
        <v>66</v>
      </c>
      <c r="Z310" s="213">
        <v>46</v>
      </c>
    </row>
    <row r="311" spans="14:26" ht="13.5" thickBot="1" x14ac:dyDescent="0.25">
      <c r="O311" s="180">
        <v>0.01</v>
      </c>
      <c r="P311" s="223">
        <f t="shared" ref="P311:V311" si="77">P310*1.05</f>
        <v>532.35</v>
      </c>
      <c r="Q311" s="217">
        <f t="shared" si="77"/>
        <v>408.45000000000005</v>
      </c>
      <c r="R311" s="217">
        <f t="shared" si="77"/>
        <v>328.65000000000003</v>
      </c>
      <c r="S311" s="217">
        <f t="shared" si="77"/>
        <v>275.10000000000002</v>
      </c>
      <c r="T311" s="217">
        <f t="shared" si="77"/>
        <v>210</v>
      </c>
      <c r="U311" s="217">
        <f t="shared" si="77"/>
        <v>170.1</v>
      </c>
      <c r="V311" s="217">
        <f t="shared" si="77"/>
        <v>143.85</v>
      </c>
      <c r="W311" s="217">
        <f>W310*1.06</f>
        <v>125.08000000000001</v>
      </c>
      <c r="X311" s="217">
        <f>X310*1.06</f>
        <v>90.100000000000009</v>
      </c>
      <c r="Y311" s="217">
        <f>Y310*1.06</f>
        <v>69.960000000000008</v>
      </c>
      <c r="Z311" s="224">
        <f>Z310*1.07</f>
        <v>49.220000000000006</v>
      </c>
    </row>
    <row r="313" spans="14:26" ht="13.5" thickBot="1" x14ac:dyDescent="0.25">
      <c r="N313" s="173">
        <v>29</v>
      </c>
      <c r="O313" s="49" t="s">
        <v>144</v>
      </c>
      <c r="R313" s="197" t="s">
        <v>117</v>
      </c>
    </row>
    <row r="314" spans="14:26" ht="13.5" thickBot="1" x14ac:dyDescent="0.25">
      <c r="O314" s="174" t="s">
        <v>52</v>
      </c>
      <c r="P314" s="175">
        <v>5</v>
      </c>
      <c r="Q314" s="176">
        <v>10</v>
      </c>
      <c r="R314" s="176">
        <v>15</v>
      </c>
      <c r="S314" s="176">
        <v>20</v>
      </c>
      <c r="T314" s="176">
        <v>30</v>
      </c>
      <c r="U314" s="176">
        <v>40</v>
      </c>
      <c r="V314" s="176">
        <v>50</v>
      </c>
      <c r="W314" s="176">
        <v>60</v>
      </c>
      <c r="X314" s="176">
        <v>90</v>
      </c>
      <c r="Y314" s="176">
        <v>120</v>
      </c>
      <c r="Z314" s="177">
        <v>180</v>
      </c>
    </row>
    <row r="315" spans="14:26" x14ac:dyDescent="0.2">
      <c r="O315" s="198">
        <v>1</v>
      </c>
      <c r="P315" s="201">
        <v>222</v>
      </c>
      <c r="Q315" s="88">
        <v>146</v>
      </c>
      <c r="R315" s="88">
        <v>113</v>
      </c>
      <c r="S315" s="88">
        <v>94</v>
      </c>
      <c r="T315" s="88">
        <v>72</v>
      </c>
      <c r="U315" s="88">
        <v>59</v>
      </c>
      <c r="V315" s="88">
        <v>50</v>
      </c>
      <c r="W315" s="88">
        <v>44</v>
      </c>
      <c r="X315" s="88">
        <v>32</v>
      </c>
      <c r="Y315" s="88">
        <v>25</v>
      </c>
      <c r="Z315" s="179">
        <v>18</v>
      </c>
    </row>
    <row r="316" spans="14:26" x14ac:dyDescent="0.2">
      <c r="O316" s="178">
        <v>0.5</v>
      </c>
      <c r="P316" s="201">
        <v>261</v>
      </c>
      <c r="Q316" s="88">
        <v>177</v>
      </c>
      <c r="R316" s="88">
        <v>140</v>
      </c>
      <c r="S316" s="88">
        <v>117</v>
      </c>
      <c r="T316" s="88">
        <v>90</v>
      </c>
      <c r="U316" s="88">
        <v>74</v>
      </c>
      <c r="V316" s="88">
        <v>63</v>
      </c>
      <c r="W316" s="88">
        <v>55</v>
      </c>
      <c r="X316" s="88">
        <v>41</v>
      </c>
      <c r="Y316" s="88">
        <v>33</v>
      </c>
      <c r="Z316" s="179">
        <v>23</v>
      </c>
    </row>
    <row r="317" spans="14:26" x14ac:dyDescent="0.2">
      <c r="O317" s="178">
        <v>0.2</v>
      </c>
      <c r="P317" s="201">
        <v>313</v>
      </c>
      <c r="Q317" s="88">
        <v>215</v>
      </c>
      <c r="R317" s="88">
        <v>173</v>
      </c>
      <c r="S317" s="88">
        <v>147</v>
      </c>
      <c r="T317" s="88">
        <v>116</v>
      </c>
      <c r="U317" s="88">
        <v>96</v>
      </c>
      <c r="V317" s="88">
        <v>83</v>
      </c>
      <c r="W317" s="88">
        <v>74</v>
      </c>
      <c r="X317" s="88">
        <v>55</v>
      </c>
      <c r="Y317" s="88">
        <v>46</v>
      </c>
      <c r="Z317" s="179">
        <v>33</v>
      </c>
    </row>
    <row r="318" spans="14:26" x14ac:dyDescent="0.2">
      <c r="O318" s="178">
        <v>0.1</v>
      </c>
      <c r="P318" s="201">
        <v>347</v>
      </c>
      <c r="Q318" s="88">
        <v>245</v>
      </c>
      <c r="R318" s="88">
        <v>198</v>
      </c>
      <c r="S318" s="88">
        <v>170</v>
      </c>
      <c r="T318" s="88">
        <v>135</v>
      </c>
      <c r="U318" s="88">
        <v>114</v>
      </c>
      <c r="V318" s="88">
        <v>98</v>
      </c>
      <c r="W318" s="88">
        <v>87</v>
      </c>
      <c r="X318" s="88">
        <v>67</v>
      </c>
      <c r="Y318" s="88">
        <v>54</v>
      </c>
      <c r="Z318" s="179">
        <v>38</v>
      </c>
    </row>
    <row r="319" spans="14:26" ht="13.5" thickBot="1" x14ac:dyDescent="0.25">
      <c r="O319" s="180">
        <v>0.05</v>
      </c>
      <c r="P319" s="201">
        <v>370</v>
      </c>
      <c r="Q319" s="202">
        <v>270</v>
      </c>
      <c r="R319" s="202">
        <v>220</v>
      </c>
      <c r="S319" s="202">
        <v>190</v>
      </c>
      <c r="T319" s="202">
        <v>153</v>
      </c>
      <c r="U319" s="202">
        <v>130</v>
      </c>
      <c r="V319" s="202">
        <v>112</v>
      </c>
      <c r="W319" s="202">
        <v>100</v>
      </c>
      <c r="X319" s="202">
        <v>77</v>
      </c>
      <c r="Y319" s="202">
        <v>63</v>
      </c>
      <c r="Z319" s="179">
        <v>45</v>
      </c>
    </row>
    <row r="320" spans="14:26" x14ac:dyDescent="0.2">
      <c r="O320" s="203">
        <v>3.3000000000000002E-2</v>
      </c>
      <c r="P320" s="204">
        <f>P319*1.08</f>
        <v>399.6</v>
      </c>
      <c r="Q320" s="205">
        <f>Q319*1.07</f>
        <v>288.90000000000003</v>
      </c>
      <c r="R320" s="205">
        <f>R319*1.07</f>
        <v>235.4</v>
      </c>
      <c r="S320" s="205">
        <f>S319*1.07</f>
        <v>203.3</v>
      </c>
      <c r="T320" s="205">
        <f>T319*1.08</f>
        <v>165.24</v>
      </c>
      <c r="U320" s="205">
        <f>U319*1.09</f>
        <v>141.70000000000002</v>
      </c>
      <c r="V320" s="205">
        <f>V319*1.1</f>
        <v>123.20000000000002</v>
      </c>
      <c r="W320" s="205">
        <f>W319*1.1</f>
        <v>110.00000000000001</v>
      </c>
      <c r="X320" s="205">
        <f>X319*1.11</f>
        <v>85.470000000000013</v>
      </c>
      <c r="Y320" s="205">
        <f>Y319*1.2</f>
        <v>75.599999999999994</v>
      </c>
      <c r="Z320" s="206">
        <f>Z319*1.13</f>
        <v>50.849999999999994</v>
      </c>
    </row>
    <row r="321" spans="14:26" x14ac:dyDescent="0.2">
      <c r="O321" s="210">
        <v>0.02</v>
      </c>
      <c r="P321" s="214">
        <f>P319*1.11</f>
        <v>410.70000000000005</v>
      </c>
      <c r="Q321" s="215">
        <f>Q319*1.11</f>
        <v>299.70000000000005</v>
      </c>
      <c r="R321" s="215">
        <f>R319*1.11</f>
        <v>244.20000000000002</v>
      </c>
      <c r="S321" s="215">
        <f>S319*1.11</f>
        <v>210.9</v>
      </c>
      <c r="T321" s="215">
        <f>T319*1.13</f>
        <v>172.89</v>
      </c>
      <c r="U321" s="215">
        <f>U319*1.13</f>
        <v>146.89999999999998</v>
      </c>
      <c r="V321" s="215">
        <f>V319*1.14</f>
        <v>127.67999999999999</v>
      </c>
      <c r="W321" s="215">
        <f>W319*1.14</f>
        <v>113.99999999999999</v>
      </c>
      <c r="X321" s="215">
        <f>X319*1.16</f>
        <v>89.32</v>
      </c>
      <c r="Y321" s="215">
        <f>Y319*1.16</f>
        <v>73.08</v>
      </c>
      <c r="Z321" s="216">
        <f>Z319*1.17</f>
        <v>52.65</v>
      </c>
    </row>
    <row r="322" spans="14:26" ht="13.5" thickBot="1" x14ac:dyDescent="0.25">
      <c r="O322" s="22">
        <v>0.01</v>
      </c>
      <c r="P322" s="207">
        <f>P319*1.17</f>
        <v>432.9</v>
      </c>
      <c r="Q322" s="208">
        <f>Q319*1.18</f>
        <v>318.59999999999997</v>
      </c>
      <c r="R322" s="208">
        <f>R319*1.2</f>
        <v>264</v>
      </c>
      <c r="S322" s="208">
        <f>S319*1.19</f>
        <v>226.1</v>
      </c>
      <c r="T322" s="208">
        <f>T319*1.21</f>
        <v>185.13</v>
      </c>
      <c r="U322" s="208">
        <f>U319*1.22</f>
        <v>158.6</v>
      </c>
      <c r="V322" s="208">
        <f>V319*1.19</f>
        <v>133.28</v>
      </c>
      <c r="W322" s="208">
        <f>W319*1.19</f>
        <v>119</v>
      </c>
      <c r="X322" s="208">
        <f>X319*1.19</f>
        <v>91.63</v>
      </c>
      <c r="Y322" s="208">
        <f>Y319*1.19</f>
        <v>74.97</v>
      </c>
      <c r="Z322" s="209">
        <f>Z319*1.19</f>
        <v>53.55</v>
      </c>
    </row>
    <row r="324" spans="14:26" ht="13.5" thickBot="1" x14ac:dyDescent="0.25">
      <c r="N324" s="173">
        <v>30</v>
      </c>
      <c r="O324" s="49" t="s">
        <v>145</v>
      </c>
      <c r="R324" s="197" t="s">
        <v>117</v>
      </c>
    </row>
    <row r="325" spans="14:26" ht="13.5" thickBot="1" x14ac:dyDescent="0.25">
      <c r="O325" s="174" t="s">
        <v>52</v>
      </c>
      <c r="P325" s="175">
        <v>5</v>
      </c>
      <c r="Q325" s="176">
        <v>10</v>
      </c>
      <c r="R325" s="176">
        <v>15</v>
      </c>
      <c r="S325" s="176">
        <v>20</v>
      </c>
      <c r="T325" s="176">
        <v>30</v>
      </c>
      <c r="U325" s="176">
        <v>40</v>
      </c>
      <c r="V325" s="176">
        <v>50</v>
      </c>
      <c r="W325" s="176">
        <v>60</v>
      </c>
      <c r="X325" s="176">
        <v>90</v>
      </c>
      <c r="Y325" s="176">
        <v>120</v>
      </c>
      <c r="Z325" s="177">
        <v>180</v>
      </c>
    </row>
    <row r="326" spans="14:26" x14ac:dyDescent="0.2">
      <c r="O326" s="198">
        <v>1</v>
      </c>
      <c r="P326" s="201">
        <v>249</v>
      </c>
      <c r="Q326" s="88">
        <v>170</v>
      </c>
      <c r="R326" s="88">
        <v>133</v>
      </c>
      <c r="S326" s="88">
        <v>110</v>
      </c>
      <c r="T326" s="88">
        <v>82</v>
      </c>
      <c r="U326" s="88">
        <v>66</v>
      </c>
      <c r="V326" s="88">
        <v>55</v>
      </c>
      <c r="W326" s="88">
        <v>47</v>
      </c>
      <c r="X326" s="88">
        <v>33</v>
      </c>
      <c r="Y326" s="88">
        <v>26</v>
      </c>
      <c r="Z326" s="179">
        <v>18</v>
      </c>
    </row>
    <row r="327" spans="14:26" x14ac:dyDescent="0.2">
      <c r="O327" s="178">
        <v>0.5</v>
      </c>
      <c r="P327" s="201">
        <v>286</v>
      </c>
      <c r="Q327" s="88">
        <v>200</v>
      </c>
      <c r="R327" s="88">
        <v>158</v>
      </c>
      <c r="S327" s="88">
        <v>132</v>
      </c>
      <c r="T327" s="88">
        <v>99</v>
      </c>
      <c r="U327" s="88">
        <v>79</v>
      </c>
      <c r="V327" s="88">
        <v>65</v>
      </c>
      <c r="W327" s="88">
        <v>56</v>
      </c>
      <c r="X327" s="88">
        <v>40</v>
      </c>
      <c r="Y327" s="88">
        <v>31</v>
      </c>
      <c r="Z327" s="179">
        <v>21</v>
      </c>
    </row>
    <row r="328" spans="14:26" x14ac:dyDescent="0.2">
      <c r="O328" s="178">
        <v>0.2</v>
      </c>
      <c r="P328" s="201">
        <v>316</v>
      </c>
      <c r="Q328" s="88">
        <v>234</v>
      </c>
      <c r="R328" s="88">
        <v>188</v>
      </c>
      <c r="S328" s="88">
        <v>157</v>
      </c>
      <c r="T328" s="88">
        <v>118</v>
      </c>
      <c r="U328" s="88">
        <v>94</v>
      </c>
      <c r="V328" s="88">
        <v>78</v>
      </c>
      <c r="W328" s="88">
        <v>68</v>
      </c>
      <c r="X328" s="88">
        <v>47</v>
      </c>
      <c r="Y328" s="88">
        <v>37</v>
      </c>
      <c r="Z328" s="179">
        <v>25</v>
      </c>
    </row>
    <row r="329" spans="14:26" x14ac:dyDescent="0.2">
      <c r="O329" s="178">
        <v>0.1</v>
      </c>
      <c r="P329" s="201">
        <v>348</v>
      </c>
      <c r="Q329" s="88">
        <v>261</v>
      </c>
      <c r="R329" s="88">
        <v>210</v>
      </c>
      <c r="S329" s="88">
        <v>175</v>
      </c>
      <c r="T329" s="88">
        <v>130</v>
      </c>
      <c r="U329" s="88">
        <v>103</v>
      </c>
      <c r="V329" s="88">
        <v>86</v>
      </c>
      <c r="W329" s="88">
        <v>74</v>
      </c>
      <c r="X329" s="88">
        <v>52</v>
      </c>
      <c r="Y329" s="88">
        <v>40</v>
      </c>
      <c r="Z329" s="179">
        <v>28</v>
      </c>
    </row>
    <row r="330" spans="14:26" x14ac:dyDescent="0.2">
      <c r="O330" s="178">
        <v>0.05</v>
      </c>
      <c r="P330" s="201">
        <v>374</v>
      </c>
      <c r="Q330" s="88">
        <v>282</v>
      </c>
      <c r="R330" s="88">
        <v>224</v>
      </c>
      <c r="S330" s="88">
        <v>187</v>
      </c>
      <c r="T330" s="88">
        <v>142</v>
      </c>
      <c r="U330" s="88">
        <v>115</v>
      </c>
      <c r="V330" s="88">
        <v>96</v>
      </c>
      <c r="W330" s="88">
        <v>83</v>
      </c>
      <c r="X330" s="88">
        <v>58</v>
      </c>
      <c r="Y330" s="88">
        <v>45</v>
      </c>
      <c r="Z330" s="179">
        <v>31</v>
      </c>
    </row>
    <row r="331" spans="14:26" x14ac:dyDescent="0.2">
      <c r="O331" s="178">
        <v>3.3000000000000002E-2</v>
      </c>
      <c r="P331" s="201">
        <v>390</v>
      </c>
      <c r="Q331" s="88">
        <v>298</v>
      </c>
      <c r="R331" s="88">
        <v>237</v>
      </c>
      <c r="S331" s="88">
        <v>197</v>
      </c>
      <c r="T331" s="88">
        <v>150</v>
      </c>
      <c r="U331" s="88">
        <v>122</v>
      </c>
      <c r="V331" s="88">
        <v>102</v>
      </c>
      <c r="W331" s="88">
        <v>89</v>
      </c>
      <c r="X331" s="88">
        <v>62</v>
      </c>
      <c r="Y331" s="88">
        <v>48</v>
      </c>
      <c r="Z331" s="179">
        <v>33</v>
      </c>
    </row>
    <row r="332" spans="14:26" ht="13.5" thickBot="1" x14ac:dyDescent="0.25">
      <c r="O332" s="180">
        <v>0.02</v>
      </c>
      <c r="P332" s="211">
        <v>410</v>
      </c>
      <c r="Q332" s="212">
        <v>310</v>
      </c>
      <c r="R332" s="212">
        <v>248</v>
      </c>
      <c r="S332" s="212">
        <v>208</v>
      </c>
      <c r="T332" s="212">
        <v>158</v>
      </c>
      <c r="U332" s="212">
        <v>128</v>
      </c>
      <c r="V332" s="212">
        <v>108</v>
      </c>
      <c r="W332" s="212">
        <v>93</v>
      </c>
      <c r="X332" s="212">
        <v>67</v>
      </c>
      <c r="Y332" s="212">
        <v>52</v>
      </c>
      <c r="Z332" s="213">
        <v>36</v>
      </c>
    </row>
    <row r="333" spans="14:26" ht="13.5" thickBot="1" x14ac:dyDescent="0.25">
      <c r="O333" s="180">
        <v>0.01</v>
      </c>
      <c r="P333" s="223">
        <f t="shared" ref="P333:V333" si="78">P332*1.05</f>
        <v>430.5</v>
      </c>
      <c r="Q333" s="217">
        <f t="shared" si="78"/>
        <v>325.5</v>
      </c>
      <c r="R333" s="217">
        <f t="shared" si="78"/>
        <v>260.40000000000003</v>
      </c>
      <c r="S333" s="217">
        <f t="shared" si="78"/>
        <v>218.4</v>
      </c>
      <c r="T333" s="217">
        <f t="shared" si="78"/>
        <v>165.9</v>
      </c>
      <c r="U333" s="217">
        <f t="shared" si="78"/>
        <v>134.4</v>
      </c>
      <c r="V333" s="217">
        <f t="shared" si="78"/>
        <v>113.4</v>
      </c>
      <c r="W333" s="217">
        <f>W332*1.06</f>
        <v>98.58</v>
      </c>
      <c r="X333" s="217">
        <f>X332*1.06</f>
        <v>71.02000000000001</v>
      </c>
      <c r="Y333" s="217">
        <f>Y332*1.06</f>
        <v>55.120000000000005</v>
      </c>
      <c r="Z333" s="224">
        <f>Z332*1.07</f>
        <v>38.520000000000003</v>
      </c>
    </row>
    <row r="334" spans="14:26" x14ac:dyDescent="0.2">
      <c r="P334" s="215"/>
      <c r="Q334" s="215"/>
      <c r="R334" s="215"/>
      <c r="S334" s="215"/>
      <c r="T334" s="215"/>
      <c r="U334" s="215"/>
      <c r="V334" s="215"/>
      <c r="W334" s="215"/>
      <c r="X334" s="215"/>
    </row>
    <row r="335" spans="14:26" ht="13.5" thickBot="1" x14ac:dyDescent="0.25">
      <c r="N335" s="173">
        <v>31</v>
      </c>
      <c r="O335" s="49" t="s">
        <v>146</v>
      </c>
      <c r="R335" s="197" t="s">
        <v>117</v>
      </c>
    </row>
    <row r="336" spans="14:26" ht="13.5" thickBot="1" x14ac:dyDescent="0.25">
      <c r="O336" s="174" t="s">
        <v>52</v>
      </c>
      <c r="P336" s="175">
        <v>5</v>
      </c>
      <c r="Q336" s="176">
        <v>10</v>
      </c>
      <c r="R336" s="176">
        <v>15</v>
      </c>
      <c r="S336" s="176">
        <v>20</v>
      </c>
      <c r="T336" s="176">
        <v>30</v>
      </c>
      <c r="U336" s="176">
        <v>40</v>
      </c>
      <c r="V336" s="176">
        <v>50</v>
      </c>
      <c r="W336" s="176">
        <v>60</v>
      </c>
      <c r="X336" s="176">
        <v>90</v>
      </c>
      <c r="Y336" s="176">
        <v>120</v>
      </c>
      <c r="Z336" s="177">
        <v>180</v>
      </c>
    </row>
    <row r="337" spans="14:26" x14ac:dyDescent="0.2">
      <c r="O337" s="198">
        <v>1</v>
      </c>
      <c r="P337" s="201">
        <v>252</v>
      </c>
      <c r="Q337" s="88">
        <v>171</v>
      </c>
      <c r="R337" s="88">
        <v>131</v>
      </c>
      <c r="S337" s="88">
        <v>108</v>
      </c>
      <c r="T337" s="88">
        <v>80</v>
      </c>
      <c r="U337" s="88">
        <v>64</v>
      </c>
      <c r="V337" s="88">
        <v>54</v>
      </c>
      <c r="W337" s="88">
        <v>47</v>
      </c>
      <c r="X337" s="88">
        <v>33</v>
      </c>
      <c r="Y337" s="88">
        <v>26</v>
      </c>
      <c r="Z337" s="179">
        <v>18</v>
      </c>
    </row>
    <row r="338" spans="14:26" x14ac:dyDescent="0.2">
      <c r="O338" s="178">
        <v>0.5</v>
      </c>
      <c r="P338" s="201">
        <v>290</v>
      </c>
      <c r="Q338" s="88">
        <v>202</v>
      </c>
      <c r="R338" s="88">
        <v>156</v>
      </c>
      <c r="S338" s="88">
        <v>129</v>
      </c>
      <c r="T338" s="88">
        <v>96</v>
      </c>
      <c r="U338" s="88">
        <v>78</v>
      </c>
      <c r="V338" s="88">
        <v>66</v>
      </c>
      <c r="W338" s="88">
        <v>57</v>
      </c>
      <c r="X338" s="88">
        <v>41</v>
      </c>
      <c r="Y338" s="88">
        <v>32</v>
      </c>
      <c r="Z338" s="179">
        <v>22</v>
      </c>
    </row>
    <row r="339" spans="14:26" x14ac:dyDescent="0.2">
      <c r="O339" s="178">
        <v>0.2</v>
      </c>
      <c r="P339" s="201">
        <v>345</v>
      </c>
      <c r="Q339" s="88">
        <v>240</v>
      </c>
      <c r="R339" s="88">
        <v>188</v>
      </c>
      <c r="S339" s="88">
        <v>156</v>
      </c>
      <c r="T339" s="88">
        <v>118</v>
      </c>
      <c r="U339" s="88">
        <v>96</v>
      </c>
      <c r="V339" s="88">
        <v>81</v>
      </c>
      <c r="W339" s="88">
        <v>70</v>
      </c>
      <c r="X339" s="88">
        <v>50</v>
      </c>
      <c r="Y339" s="88">
        <v>40</v>
      </c>
      <c r="Z339" s="179">
        <v>28</v>
      </c>
    </row>
    <row r="340" spans="14:26" x14ac:dyDescent="0.2">
      <c r="O340" s="178">
        <v>0.1</v>
      </c>
      <c r="P340" s="201">
        <v>380</v>
      </c>
      <c r="Q340" s="88">
        <v>270</v>
      </c>
      <c r="R340" s="88">
        <v>213</v>
      </c>
      <c r="S340" s="88">
        <v>177</v>
      </c>
      <c r="T340" s="88">
        <v>134</v>
      </c>
      <c r="U340" s="88">
        <v>109</v>
      </c>
      <c r="V340" s="88">
        <v>92</v>
      </c>
      <c r="W340" s="88">
        <v>80</v>
      </c>
      <c r="X340" s="88">
        <v>58</v>
      </c>
      <c r="Y340" s="88">
        <v>46</v>
      </c>
      <c r="Z340" s="179">
        <v>32</v>
      </c>
    </row>
    <row r="341" spans="14:26" x14ac:dyDescent="0.2">
      <c r="O341" s="178">
        <v>0.05</v>
      </c>
      <c r="P341" s="201">
        <v>417</v>
      </c>
      <c r="Q341" s="88">
        <v>295</v>
      </c>
      <c r="R341" s="88">
        <v>231</v>
      </c>
      <c r="S341" s="88">
        <v>191</v>
      </c>
      <c r="T341" s="88">
        <v>145</v>
      </c>
      <c r="U341" s="88">
        <v>118</v>
      </c>
      <c r="V341" s="88">
        <v>99</v>
      </c>
      <c r="W341" s="88">
        <v>86</v>
      </c>
      <c r="X341" s="88">
        <v>62</v>
      </c>
      <c r="Y341" s="88">
        <v>48</v>
      </c>
      <c r="Z341" s="179">
        <v>34</v>
      </c>
    </row>
    <row r="342" spans="14:26" ht="13.5" thickBot="1" x14ac:dyDescent="0.25">
      <c r="O342" s="180">
        <v>3.3000000000000002E-2</v>
      </c>
      <c r="P342" s="201">
        <v>447</v>
      </c>
      <c r="Q342" s="202">
        <v>313</v>
      </c>
      <c r="R342" s="202">
        <v>248</v>
      </c>
      <c r="S342" s="202">
        <v>204</v>
      </c>
      <c r="T342" s="202">
        <v>155</v>
      </c>
      <c r="U342" s="202">
        <v>126</v>
      </c>
      <c r="V342" s="202">
        <v>105</v>
      </c>
      <c r="W342" s="202">
        <v>91</v>
      </c>
      <c r="X342" s="202">
        <v>66</v>
      </c>
      <c r="Y342" s="202">
        <v>51</v>
      </c>
      <c r="Z342" s="179">
        <v>36</v>
      </c>
    </row>
    <row r="343" spans="14:26" x14ac:dyDescent="0.2">
      <c r="O343" s="210">
        <v>0.02</v>
      </c>
      <c r="P343" s="204">
        <f>P342*1.04</f>
        <v>464.88</v>
      </c>
      <c r="Q343" s="205">
        <f>Q342*1.05</f>
        <v>328.65000000000003</v>
      </c>
      <c r="R343" s="205">
        <f t="shared" ref="R343:X343" si="79">R342*1.06</f>
        <v>262.88</v>
      </c>
      <c r="S343" s="205">
        <f t="shared" si="79"/>
        <v>216.24</v>
      </c>
      <c r="T343" s="205">
        <f t="shared" si="79"/>
        <v>164.3</v>
      </c>
      <c r="U343" s="205">
        <f t="shared" si="79"/>
        <v>133.56</v>
      </c>
      <c r="V343" s="205">
        <f t="shared" si="79"/>
        <v>111.30000000000001</v>
      </c>
      <c r="W343" s="205">
        <f t="shared" si="79"/>
        <v>96.460000000000008</v>
      </c>
      <c r="X343" s="205">
        <f t="shared" si="79"/>
        <v>69.960000000000008</v>
      </c>
      <c r="Y343" s="205">
        <f>Y342*1.07</f>
        <v>54.57</v>
      </c>
      <c r="Z343" s="206">
        <f>Z342*1.07</f>
        <v>38.520000000000003</v>
      </c>
    </row>
    <row r="344" spans="14:26" ht="13.5" thickBot="1" x14ac:dyDescent="0.25">
      <c r="O344" s="22">
        <v>0.01</v>
      </c>
      <c r="P344" s="207">
        <f>P342*1.09</f>
        <v>487.23</v>
      </c>
      <c r="Q344" s="208">
        <f>Q342*1.1</f>
        <v>344.3</v>
      </c>
      <c r="R344" s="208">
        <f>R342*1.11</f>
        <v>275.28000000000003</v>
      </c>
      <c r="S344" s="208">
        <f>S342*1.11</f>
        <v>226.44000000000003</v>
      </c>
      <c r="T344" s="208">
        <f>T342*1.11</f>
        <v>172.05</v>
      </c>
      <c r="U344" s="208">
        <f>U342*1.12</f>
        <v>141.12</v>
      </c>
      <c r="V344" s="208">
        <f>V342*1.12</f>
        <v>117.60000000000001</v>
      </c>
      <c r="W344" s="208">
        <f>W342*1.12</f>
        <v>101.92000000000002</v>
      </c>
      <c r="X344" s="208">
        <f>X342*1.13</f>
        <v>74.58</v>
      </c>
      <c r="Y344" s="208">
        <f>Y342*1.13</f>
        <v>57.629999999999995</v>
      </c>
      <c r="Z344" s="209">
        <f>Z342*1.14</f>
        <v>41.04</v>
      </c>
    </row>
    <row r="346" spans="14:26" ht="13.5" thickBot="1" x14ac:dyDescent="0.25">
      <c r="N346" s="173">
        <v>32</v>
      </c>
      <c r="O346" s="49" t="s">
        <v>147</v>
      </c>
      <c r="R346" s="197" t="s">
        <v>117</v>
      </c>
    </row>
    <row r="347" spans="14:26" ht="13.5" thickBot="1" x14ac:dyDescent="0.25">
      <c r="O347" s="174" t="s">
        <v>52</v>
      </c>
      <c r="P347" s="175">
        <v>5</v>
      </c>
      <c r="Q347" s="176">
        <v>10</v>
      </c>
      <c r="R347" s="176">
        <v>15</v>
      </c>
      <c r="S347" s="176">
        <v>20</v>
      </c>
      <c r="T347" s="176">
        <v>30</v>
      </c>
      <c r="U347" s="176">
        <v>40</v>
      </c>
      <c r="V347" s="176">
        <v>50</v>
      </c>
      <c r="W347" s="176">
        <v>60</v>
      </c>
      <c r="X347" s="176">
        <v>90</v>
      </c>
      <c r="Y347" s="176">
        <v>120</v>
      </c>
      <c r="Z347" s="177">
        <v>180</v>
      </c>
    </row>
    <row r="348" spans="14:26" x14ac:dyDescent="0.2">
      <c r="O348" s="198">
        <v>1</v>
      </c>
      <c r="P348" s="201">
        <v>237</v>
      </c>
      <c r="Q348" s="88">
        <v>161</v>
      </c>
      <c r="R348" s="88">
        <v>126</v>
      </c>
      <c r="S348" s="88">
        <v>106</v>
      </c>
      <c r="T348" s="88">
        <v>79</v>
      </c>
      <c r="U348" s="88">
        <v>64</v>
      </c>
      <c r="V348" s="88">
        <v>53</v>
      </c>
      <c r="W348" s="88">
        <v>46</v>
      </c>
      <c r="X348" s="88">
        <v>33</v>
      </c>
      <c r="Y348" s="88">
        <v>25</v>
      </c>
      <c r="Z348" s="179">
        <v>18</v>
      </c>
    </row>
    <row r="349" spans="14:26" x14ac:dyDescent="0.2">
      <c r="O349" s="178">
        <v>0.5</v>
      </c>
      <c r="P349" s="201">
        <v>285</v>
      </c>
      <c r="Q349" s="88">
        <v>193</v>
      </c>
      <c r="R349" s="88">
        <v>152</v>
      </c>
      <c r="S349" s="88">
        <v>126</v>
      </c>
      <c r="T349" s="88">
        <v>94</v>
      </c>
      <c r="U349" s="88">
        <v>76</v>
      </c>
      <c r="V349" s="88">
        <v>64</v>
      </c>
      <c r="W349" s="88">
        <v>56</v>
      </c>
      <c r="X349" s="88">
        <v>40</v>
      </c>
      <c r="Y349" s="88">
        <v>31</v>
      </c>
      <c r="Z349" s="179">
        <v>22</v>
      </c>
    </row>
    <row r="350" spans="14:26" x14ac:dyDescent="0.2">
      <c r="O350" s="178">
        <v>0.2</v>
      </c>
      <c r="P350" s="201">
        <v>358</v>
      </c>
      <c r="Q350" s="88">
        <v>238</v>
      </c>
      <c r="R350" s="88">
        <v>182</v>
      </c>
      <c r="S350" s="88">
        <v>152</v>
      </c>
      <c r="T350" s="88">
        <v>117</v>
      </c>
      <c r="U350" s="88">
        <v>95</v>
      </c>
      <c r="V350" s="88">
        <v>80</v>
      </c>
      <c r="W350" s="88">
        <v>69</v>
      </c>
      <c r="X350" s="88">
        <v>49</v>
      </c>
      <c r="Y350" s="88">
        <v>38</v>
      </c>
      <c r="Z350" s="179">
        <v>26</v>
      </c>
    </row>
    <row r="351" spans="14:26" x14ac:dyDescent="0.2">
      <c r="O351" s="178">
        <v>0.1</v>
      </c>
      <c r="P351" s="201">
        <v>389</v>
      </c>
      <c r="Q351" s="88">
        <v>260</v>
      </c>
      <c r="R351" s="88">
        <v>202</v>
      </c>
      <c r="S351" s="88">
        <v>170</v>
      </c>
      <c r="T351" s="88">
        <v>131</v>
      </c>
      <c r="U351" s="88">
        <v>108</v>
      </c>
      <c r="V351" s="88">
        <v>91</v>
      </c>
      <c r="W351" s="88">
        <v>79</v>
      </c>
      <c r="X351" s="88">
        <v>55</v>
      </c>
      <c r="Y351" s="88">
        <v>43</v>
      </c>
      <c r="Z351" s="179">
        <v>29</v>
      </c>
    </row>
    <row r="352" spans="14:26" x14ac:dyDescent="0.2">
      <c r="O352" s="178">
        <v>0.05</v>
      </c>
      <c r="P352" s="201">
        <v>417</v>
      </c>
      <c r="Q352" s="88">
        <v>285</v>
      </c>
      <c r="R352" s="88">
        <v>224</v>
      </c>
      <c r="S352" s="88">
        <v>188</v>
      </c>
      <c r="T352" s="88">
        <v>146</v>
      </c>
      <c r="U352" s="88">
        <v>122</v>
      </c>
      <c r="V352" s="88">
        <v>101</v>
      </c>
      <c r="W352" s="88">
        <v>86</v>
      </c>
      <c r="X352" s="88">
        <v>60</v>
      </c>
      <c r="Y352" s="88">
        <v>47</v>
      </c>
      <c r="Z352" s="179">
        <v>32</v>
      </c>
    </row>
    <row r="353" spans="14:26" x14ac:dyDescent="0.2">
      <c r="O353" s="178">
        <v>3.3000000000000002E-2</v>
      </c>
      <c r="P353" s="201">
        <v>453</v>
      </c>
      <c r="Q353" s="88">
        <v>305</v>
      </c>
      <c r="R353" s="88">
        <v>238</v>
      </c>
      <c r="S353" s="88">
        <v>199</v>
      </c>
      <c r="T353" s="88">
        <v>156</v>
      </c>
      <c r="U353" s="88">
        <v>127</v>
      </c>
      <c r="V353" s="88">
        <v>107</v>
      </c>
      <c r="W353" s="88">
        <v>92</v>
      </c>
      <c r="X353" s="88">
        <v>65</v>
      </c>
      <c r="Y353" s="88">
        <v>50</v>
      </c>
      <c r="Z353" s="179">
        <v>34</v>
      </c>
    </row>
    <row r="354" spans="14:26" ht="13.5" thickBot="1" x14ac:dyDescent="0.25">
      <c r="O354" s="180">
        <v>0.02</v>
      </c>
      <c r="P354" s="211">
        <v>474</v>
      </c>
      <c r="Q354" s="212">
        <v>323</v>
      </c>
      <c r="R354" s="212">
        <v>252</v>
      </c>
      <c r="S354" s="212">
        <v>208</v>
      </c>
      <c r="T354" s="212">
        <v>158</v>
      </c>
      <c r="U354" s="212">
        <v>130</v>
      </c>
      <c r="V354" s="212">
        <v>110</v>
      </c>
      <c r="W354" s="212">
        <v>96</v>
      </c>
      <c r="X354" s="212">
        <v>69</v>
      </c>
      <c r="Y354" s="212">
        <v>53</v>
      </c>
      <c r="Z354" s="213">
        <v>36</v>
      </c>
    </row>
    <row r="355" spans="14:26" ht="13.5" thickBot="1" x14ac:dyDescent="0.25">
      <c r="O355" s="180">
        <v>0.01</v>
      </c>
      <c r="P355" s="223">
        <f t="shared" ref="P355:V355" si="80">P354*1.05</f>
        <v>497.70000000000005</v>
      </c>
      <c r="Q355" s="217">
        <f t="shared" si="80"/>
        <v>339.15000000000003</v>
      </c>
      <c r="R355" s="217">
        <f t="shared" si="80"/>
        <v>264.60000000000002</v>
      </c>
      <c r="S355" s="217">
        <f t="shared" si="80"/>
        <v>218.4</v>
      </c>
      <c r="T355" s="217">
        <f t="shared" si="80"/>
        <v>165.9</v>
      </c>
      <c r="U355" s="217">
        <f t="shared" si="80"/>
        <v>136.5</v>
      </c>
      <c r="V355" s="217">
        <f t="shared" si="80"/>
        <v>115.5</v>
      </c>
      <c r="W355" s="217">
        <f>W354*1.06</f>
        <v>101.76</v>
      </c>
      <c r="X355" s="217">
        <f>X354*1.06</f>
        <v>73.14</v>
      </c>
      <c r="Y355" s="217">
        <f>Y354*1.06</f>
        <v>56.18</v>
      </c>
      <c r="Z355" s="224">
        <f>Z354*1.07</f>
        <v>38.520000000000003</v>
      </c>
    </row>
    <row r="357" spans="14:26" ht="13.5" thickBot="1" x14ac:dyDescent="0.25">
      <c r="N357" s="173">
        <v>33</v>
      </c>
      <c r="O357" s="49" t="s">
        <v>148</v>
      </c>
      <c r="R357" s="197" t="s">
        <v>117</v>
      </c>
    </row>
    <row r="358" spans="14:26" ht="13.5" thickBot="1" x14ac:dyDescent="0.25">
      <c r="O358" s="174" t="s">
        <v>52</v>
      </c>
      <c r="P358" s="175">
        <v>5</v>
      </c>
      <c r="Q358" s="176">
        <v>10</v>
      </c>
      <c r="R358" s="176">
        <v>15</v>
      </c>
      <c r="S358" s="176">
        <v>20</v>
      </c>
      <c r="T358" s="176">
        <v>30</v>
      </c>
      <c r="U358" s="176">
        <v>40</v>
      </c>
      <c r="V358" s="176">
        <v>50</v>
      </c>
      <c r="W358" s="176">
        <v>60</v>
      </c>
      <c r="X358" s="176">
        <v>90</v>
      </c>
      <c r="Y358" s="176">
        <v>120</v>
      </c>
      <c r="Z358" s="177">
        <v>180</v>
      </c>
    </row>
    <row r="359" spans="14:26" x14ac:dyDescent="0.2">
      <c r="O359" s="198">
        <v>1</v>
      </c>
      <c r="P359" s="201">
        <v>261</v>
      </c>
      <c r="Q359" s="88">
        <v>165</v>
      </c>
      <c r="R359" s="88">
        <v>123</v>
      </c>
      <c r="S359" s="88">
        <v>99</v>
      </c>
      <c r="T359" s="88">
        <v>73</v>
      </c>
      <c r="U359" s="88">
        <v>58</v>
      </c>
      <c r="V359" s="88">
        <v>48</v>
      </c>
      <c r="W359" s="88">
        <v>41</v>
      </c>
      <c r="X359" s="88">
        <v>29</v>
      </c>
      <c r="Y359" s="88">
        <v>23</v>
      </c>
      <c r="Z359" s="179">
        <v>16</v>
      </c>
    </row>
    <row r="360" spans="14:26" x14ac:dyDescent="0.2">
      <c r="O360" s="178">
        <v>0.5</v>
      </c>
      <c r="P360" s="201">
        <v>326</v>
      </c>
      <c r="Q360" s="88">
        <v>204</v>
      </c>
      <c r="R360" s="88">
        <v>153</v>
      </c>
      <c r="S360" s="88">
        <v>123</v>
      </c>
      <c r="T360" s="88">
        <v>89</v>
      </c>
      <c r="U360" s="88">
        <v>70</v>
      </c>
      <c r="V360" s="88">
        <v>58</v>
      </c>
      <c r="W360" s="88">
        <v>49</v>
      </c>
      <c r="X360" s="88">
        <v>35</v>
      </c>
      <c r="Y360" s="88">
        <v>27</v>
      </c>
      <c r="Z360" s="179">
        <v>19</v>
      </c>
    </row>
    <row r="361" spans="14:26" x14ac:dyDescent="0.2">
      <c r="O361" s="178">
        <v>0.2</v>
      </c>
      <c r="P361" s="201">
        <v>401</v>
      </c>
      <c r="Q361" s="88">
        <v>254</v>
      </c>
      <c r="R361" s="88">
        <v>189</v>
      </c>
      <c r="S361" s="88">
        <v>152</v>
      </c>
      <c r="T361" s="88">
        <v>110</v>
      </c>
      <c r="U361" s="88">
        <v>87</v>
      </c>
      <c r="V361" s="88">
        <v>71</v>
      </c>
      <c r="W361" s="88">
        <v>60</v>
      </c>
      <c r="X361" s="88">
        <v>42</v>
      </c>
      <c r="Y361" s="88">
        <v>32</v>
      </c>
      <c r="Z361" s="179">
        <v>22</v>
      </c>
    </row>
    <row r="362" spans="14:26" x14ac:dyDescent="0.2">
      <c r="O362" s="178">
        <v>0.1</v>
      </c>
      <c r="P362" s="201">
        <v>448</v>
      </c>
      <c r="Q362" s="88">
        <v>287</v>
      </c>
      <c r="R362" s="88">
        <v>215</v>
      </c>
      <c r="S362" s="88">
        <v>172</v>
      </c>
      <c r="T362" s="88">
        <v>125</v>
      </c>
      <c r="U362" s="88">
        <v>98</v>
      </c>
      <c r="V362" s="88">
        <v>80</v>
      </c>
      <c r="W362" s="88">
        <v>69</v>
      </c>
      <c r="X362" s="88">
        <v>47</v>
      </c>
      <c r="Y362" s="88">
        <v>37</v>
      </c>
      <c r="Z362" s="179">
        <v>25</v>
      </c>
    </row>
    <row r="363" spans="14:26" x14ac:dyDescent="0.2">
      <c r="O363" s="178">
        <v>0.05</v>
      </c>
      <c r="P363" s="201">
        <v>487</v>
      </c>
      <c r="Q363" s="88">
        <v>310</v>
      </c>
      <c r="R363" s="88">
        <v>235</v>
      </c>
      <c r="S363" s="88">
        <v>190</v>
      </c>
      <c r="T363" s="88">
        <v>138</v>
      </c>
      <c r="U363" s="88">
        <v>109</v>
      </c>
      <c r="V363" s="88">
        <v>90</v>
      </c>
      <c r="W363" s="88">
        <v>77</v>
      </c>
      <c r="X363" s="88">
        <v>53</v>
      </c>
      <c r="Y363" s="88">
        <v>41</v>
      </c>
      <c r="Z363" s="179">
        <v>27</v>
      </c>
    </row>
    <row r="364" spans="14:26" ht="13.5" thickBot="1" x14ac:dyDescent="0.25">
      <c r="O364" s="180">
        <v>3.3000000000000002E-2</v>
      </c>
      <c r="P364" s="201">
        <v>502</v>
      </c>
      <c r="Q364" s="202">
        <v>330</v>
      </c>
      <c r="R364" s="202">
        <v>249</v>
      </c>
      <c r="S364" s="202">
        <v>200</v>
      </c>
      <c r="T364" s="202">
        <v>146</v>
      </c>
      <c r="U364" s="202">
        <v>115</v>
      </c>
      <c r="V364" s="202">
        <v>94</v>
      </c>
      <c r="W364" s="202">
        <v>80</v>
      </c>
      <c r="X364" s="202">
        <v>55</v>
      </c>
      <c r="Y364" s="202">
        <v>43</v>
      </c>
      <c r="Z364" s="179">
        <v>29</v>
      </c>
    </row>
    <row r="365" spans="14:26" x14ac:dyDescent="0.2">
      <c r="O365" s="210">
        <v>0.02</v>
      </c>
      <c r="P365" s="204">
        <f>P364*1.04</f>
        <v>522.08000000000004</v>
      </c>
      <c r="Q365" s="205">
        <f>Q364*1.05</f>
        <v>346.5</v>
      </c>
      <c r="R365" s="205">
        <f t="shared" ref="R365:X365" si="81">R364*1.06</f>
        <v>263.94</v>
      </c>
      <c r="S365" s="205">
        <f t="shared" si="81"/>
        <v>212</v>
      </c>
      <c r="T365" s="205">
        <f t="shared" si="81"/>
        <v>154.76000000000002</v>
      </c>
      <c r="U365" s="205">
        <f t="shared" si="81"/>
        <v>121.9</v>
      </c>
      <c r="V365" s="205">
        <f t="shared" si="81"/>
        <v>99.64</v>
      </c>
      <c r="W365" s="205">
        <f t="shared" si="81"/>
        <v>84.800000000000011</v>
      </c>
      <c r="X365" s="205">
        <f t="shared" si="81"/>
        <v>58.300000000000004</v>
      </c>
      <c r="Y365" s="205">
        <f>Y364*1.07</f>
        <v>46.010000000000005</v>
      </c>
      <c r="Z365" s="206">
        <f>Z364*1.07</f>
        <v>31.03</v>
      </c>
    </row>
    <row r="366" spans="14:26" ht="13.5" thickBot="1" x14ac:dyDescent="0.25">
      <c r="O366" s="22">
        <v>0.01</v>
      </c>
      <c r="P366" s="207">
        <f>P364*1.09</f>
        <v>547.18000000000006</v>
      </c>
      <c r="Q366" s="208">
        <f>Q364*1.1</f>
        <v>363.00000000000006</v>
      </c>
      <c r="R366" s="208">
        <f>R364*1.11</f>
        <v>276.39000000000004</v>
      </c>
      <c r="S366" s="208">
        <f>S364*1.11</f>
        <v>222.00000000000003</v>
      </c>
      <c r="T366" s="208">
        <f>T364*1.11</f>
        <v>162.06</v>
      </c>
      <c r="U366" s="208">
        <f>U364*1.12</f>
        <v>128.80000000000001</v>
      </c>
      <c r="V366" s="208">
        <f>V364*1.12</f>
        <v>105.28000000000002</v>
      </c>
      <c r="W366" s="208">
        <f>W364*1.12</f>
        <v>89.600000000000009</v>
      </c>
      <c r="X366" s="208">
        <f>X364*1.13</f>
        <v>62.149999999999991</v>
      </c>
      <c r="Y366" s="208">
        <f>Y364*1.13</f>
        <v>48.589999999999996</v>
      </c>
      <c r="Z366" s="209">
        <f>Z364*1.14</f>
        <v>33.059999999999995</v>
      </c>
    </row>
    <row r="368" spans="14:26" ht="13.5" thickBot="1" x14ac:dyDescent="0.25">
      <c r="N368" s="173">
        <v>34</v>
      </c>
      <c r="O368" s="49" t="s">
        <v>149</v>
      </c>
      <c r="R368" s="197" t="s">
        <v>117</v>
      </c>
    </row>
    <row r="369" spans="14:26" ht="13.5" thickBot="1" x14ac:dyDescent="0.25">
      <c r="O369" s="174" t="s">
        <v>52</v>
      </c>
      <c r="P369" s="175">
        <v>5</v>
      </c>
      <c r="Q369" s="176">
        <v>10</v>
      </c>
      <c r="R369" s="176">
        <v>15</v>
      </c>
      <c r="S369" s="176">
        <v>20</v>
      </c>
      <c r="T369" s="176">
        <v>30</v>
      </c>
      <c r="U369" s="176">
        <v>40</v>
      </c>
      <c r="V369" s="176">
        <v>50</v>
      </c>
      <c r="W369" s="176">
        <v>60</v>
      </c>
      <c r="X369" s="176">
        <v>90</v>
      </c>
      <c r="Y369" s="176">
        <v>120</v>
      </c>
      <c r="Z369" s="177">
        <v>180</v>
      </c>
    </row>
    <row r="370" spans="14:26" x14ac:dyDescent="0.2">
      <c r="O370" s="198">
        <v>1</v>
      </c>
      <c r="P370" s="201">
        <v>283</v>
      </c>
      <c r="Q370" s="88">
        <v>188</v>
      </c>
      <c r="R370" s="88">
        <v>144</v>
      </c>
      <c r="S370" s="88">
        <v>120</v>
      </c>
      <c r="T370" s="88">
        <v>90</v>
      </c>
      <c r="U370" s="88">
        <v>73</v>
      </c>
      <c r="V370" s="88">
        <v>61</v>
      </c>
      <c r="W370" s="88">
        <v>53</v>
      </c>
      <c r="X370" s="88">
        <v>38</v>
      </c>
      <c r="Y370" s="88">
        <v>30</v>
      </c>
      <c r="Z370" s="179">
        <v>21</v>
      </c>
    </row>
    <row r="371" spans="14:26" x14ac:dyDescent="0.2">
      <c r="O371" s="178">
        <v>0.5</v>
      </c>
      <c r="P371" s="201">
        <v>342</v>
      </c>
      <c r="Q371" s="88">
        <v>228</v>
      </c>
      <c r="R371" s="88">
        <v>177</v>
      </c>
      <c r="S371" s="88">
        <v>147</v>
      </c>
      <c r="T371" s="88">
        <v>111</v>
      </c>
      <c r="U371" s="88">
        <v>90</v>
      </c>
      <c r="V371" s="88">
        <v>76</v>
      </c>
      <c r="W371" s="88">
        <v>66</v>
      </c>
      <c r="X371" s="88">
        <v>48</v>
      </c>
      <c r="Y371" s="88">
        <v>38</v>
      </c>
      <c r="Z371" s="179">
        <v>26</v>
      </c>
    </row>
    <row r="372" spans="14:26" x14ac:dyDescent="0.2">
      <c r="O372" s="178">
        <v>0.2</v>
      </c>
      <c r="P372" s="201">
        <v>414</v>
      </c>
      <c r="Q372" s="88">
        <v>280</v>
      </c>
      <c r="R372" s="88">
        <v>220</v>
      </c>
      <c r="S372" s="88">
        <v>182</v>
      </c>
      <c r="T372" s="88">
        <v>140</v>
      </c>
      <c r="U372" s="88">
        <v>114</v>
      </c>
      <c r="V372" s="88">
        <v>96</v>
      </c>
      <c r="W372" s="88">
        <v>84</v>
      </c>
      <c r="X372" s="88">
        <v>61</v>
      </c>
      <c r="Y372" s="88">
        <v>48</v>
      </c>
      <c r="Z372" s="179">
        <v>34</v>
      </c>
    </row>
    <row r="373" spans="14:26" x14ac:dyDescent="0.2">
      <c r="O373" s="178">
        <v>0.1</v>
      </c>
      <c r="P373" s="201">
        <v>460</v>
      </c>
      <c r="Q373" s="88">
        <v>314</v>
      </c>
      <c r="R373" s="88">
        <v>247</v>
      </c>
      <c r="S373" s="88">
        <v>206</v>
      </c>
      <c r="T373" s="88">
        <v>158</v>
      </c>
      <c r="U373" s="88">
        <v>129</v>
      </c>
      <c r="V373" s="88">
        <v>109</v>
      </c>
      <c r="W373" s="88">
        <v>95</v>
      </c>
      <c r="X373" s="88">
        <v>69</v>
      </c>
      <c r="Y373" s="88">
        <v>54</v>
      </c>
      <c r="Z373" s="179">
        <v>38</v>
      </c>
    </row>
    <row r="374" spans="14:26" x14ac:dyDescent="0.2">
      <c r="O374" s="178">
        <v>0.05</v>
      </c>
      <c r="P374" s="201">
        <v>490</v>
      </c>
      <c r="Q374" s="88">
        <v>342</v>
      </c>
      <c r="R374" s="88">
        <v>270</v>
      </c>
      <c r="S374" s="88">
        <v>228</v>
      </c>
      <c r="T374" s="88">
        <v>175</v>
      </c>
      <c r="U374" s="88">
        <v>144</v>
      </c>
      <c r="V374" s="88">
        <v>123</v>
      </c>
      <c r="W374" s="88">
        <v>107</v>
      </c>
      <c r="X374" s="88">
        <v>79</v>
      </c>
      <c r="Y374" s="88">
        <v>62</v>
      </c>
      <c r="Z374" s="179">
        <v>42</v>
      </c>
    </row>
    <row r="375" spans="14:26" ht="13.5" thickBot="1" x14ac:dyDescent="0.25">
      <c r="O375" s="180">
        <v>3.3000000000000002E-2</v>
      </c>
      <c r="P375" s="201">
        <v>509</v>
      </c>
      <c r="Q375" s="202">
        <v>360</v>
      </c>
      <c r="R375" s="202">
        <v>286</v>
      </c>
      <c r="S375" s="202">
        <v>240</v>
      </c>
      <c r="T375" s="202">
        <v>185</v>
      </c>
      <c r="U375" s="202">
        <v>152</v>
      </c>
      <c r="V375" s="202">
        <v>129</v>
      </c>
      <c r="W375" s="202">
        <v>113</v>
      </c>
      <c r="X375" s="202">
        <v>83</v>
      </c>
      <c r="Y375" s="202">
        <v>66</v>
      </c>
      <c r="Z375" s="179">
        <v>45</v>
      </c>
    </row>
    <row r="376" spans="14:26" x14ac:dyDescent="0.2">
      <c r="O376" s="210">
        <v>0.02</v>
      </c>
      <c r="P376" s="204">
        <f>P375*1.04</f>
        <v>529.36</v>
      </c>
      <c r="Q376" s="205">
        <f>Q375*1.05</f>
        <v>378</v>
      </c>
      <c r="R376" s="205">
        <f t="shared" ref="R376:X376" si="82">R375*1.06</f>
        <v>303.16000000000003</v>
      </c>
      <c r="S376" s="205">
        <f t="shared" si="82"/>
        <v>254.4</v>
      </c>
      <c r="T376" s="205">
        <f t="shared" si="82"/>
        <v>196.10000000000002</v>
      </c>
      <c r="U376" s="205">
        <f t="shared" si="82"/>
        <v>161.12</v>
      </c>
      <c r="V376" s="205">
        <f t="shared" si="82"/>
        <v>136.74</v>
      </c>
      <c r="W376" s="205">
        <f t="shared" si="82"/>
        <v>119.78</v>
      </c>
      <c r="X376" s="205">
        <f t="shared" si="82"/>
        <v>87.98</v>
      </c>
      <c r="Y376" s="205">
        <f>Y375*1.07</f>
        <v>70.62</v>
      </c>
      <c r="Z376" s="206">
        <f>Z375*1.07</f>
        <v>48.150000000000006</v>
      </c>
    </row>
    <row r="377" spans="14:26" ht="13.5" thickBot="1" x14ac:dyDescent="0.25">
      <c r="O377" s="22">
        <v>0.01</v>
      </c>
      <c r="P377" s="207">
        <f>P375*1.09</f>
        <v>554.81000000000006</v>
      </c>
      <c r="Q377" s="208">
        <f>Q375*1.1</f>
        <v>396.00000000000006</v>
      </c>
      <c r="R377" s="208">
        <f>R375*1.11</f>
        <v>317.46000000000004</v>
      </c>
      <c r="S377" s="208">
        <f>S375*1.11</f>
        <v>266.40000000000003</v>
      </c>
      <c r="T377" s="208">
        <f>T375*1.11</f>
        <v>205.35000000000002</v>
      </c>
      <c r="U377" s="208">
        <f>U375*1.12</f>
        <v>170.24</v>
      </c>
      <c r="V377" s="208">
        <f>V375*1.12</f>
        <v>144.48000000000002</v>
      </c>
      <c r="W377" s="208">
        <f>W375*1.12</f>
        <v>126.56000000000002</v>
      </c>
      <c r="X377" s="208">
        <f>X375*1.13</f>
        <v>93.789999999999992</v>
      </c>
      <c r="Y377" s="208">
        <f>Y375*1.13</f>
        <v>74.58</v>
      </c>
      <c r="Z377" s="209">
        <f>Z375*1.14</f>
        <v>51.3</v>
      </c>
    </row>
    <row r="379" spans="14:26" ht="13.5" thickBot="1" x14ac:dyDescent="0.25">
      <c r="N379" s="173">
        <v>35</v>
      </c>
      <c r="O379" s="49" t="s">
        <v>150</v>
      </c>
      <c r="R379" s="197" t="s">
        <v>117</v>
      </c>
    </row>
    <row r="380" spans="14:26" ht="13.5" thickBot="1" x14ac:dyDescent="0.25">
      <c r="O380" s="174" t="s">
        <v>52</v>
      </c>
      <c r="P380" s="175">
        <v>5</v>
      </c>
      <c r="Q380" s="176">
        <v>10</v>
      </c>
      <c r="R380" s="176">
        <v>15</v>
      </c>
      <c r="S380" s="176">
        <v>20</v>
      </c>
      <c r="T380" s="176">
        <v>30</v>
      </c>
      <c r="U380" s="176">
        <v>40</v>
      </c>
      <c r="V380" s="176">
        <v>50</v>
      </c>
      <c r="W380" s="176">
        <v>60</v>
      </c>
      <c r="X380" s="176">
        <v>90</v>
      </c>
      <c r="Y380" s="176">
        <v>120</v>
      </c>
      <c r="Z380" s="177">
        <v>180</v>
      </c>
    </row>
    <row r="381" spans="14:26" x14ac:dyDescent="0.2">
      <c r="O381" s="198">
        <v>1</v>
      </c>
      <c r="P381" s="201">
        <v>277</v>
      </c>
      <c r="Q381" s="88">
        <v>180</v>
      </c>
      <c r="R381" s="88">
        <v>136</v>
      </c>
      <c r="S381" s="88">
        <v>111</v>
      </c>
      <c r="T381" s="88">
        <v>82</v>
      </c>
      <c r="U381" s="88">
        <v>65</v>
      </c>
      <c r="V381" s="88">
        <v>54</v>
      </c>
      <c r="W381" s="88">
        <v>47</v>
      </c>
      <c r="X381" s="88">
        <v>33</v>
      </c>
      <c r="Y381" s="88">
        <v>26</v>
      </c>
      <c r="Z381" s="179">
        <v>18</v>
      </c>
    </row>
    <row r="382" spans="14:26" x14ac:dyDescent="0.2">
      <c r="O382" s="178">
        <v>0.5</v>
      </c>
      <c r="P382" s="201">
        <v>335</v>
      </c>
      <c r="Q382" s="88">
        <v>218</v>
      </c>
      <c r="R382" s="88">
        <v>166</v>
      </c>
      <c r="S382" s="88">
        <v>136</v>
      </c>
      <c r="T382" s="88">
        <v>100</v>
      </c>
      <c r="U382" s="88">
        <v>80</v>
      </c>
      <c r="V382" s="88">
        <v>67</v>
      </c>
      <c r="W382" s="88">
        <v>58</v>
      </c>
      <c r="X382" s="88">
        <v>41</v>
      </c>
      <c r="Y382" s="88">
        <v>32</v>
      </c>
      <c r="Z382" s="179">
        <v>22</v>
      </c>
    </row>
    <row r="383" spans="14:26" x14ac:dyDescent="0.2">
      <c r="O383" s="178">
        <v>0.2</v>
      </c>
      <c r="P383" s="201">
        <v>411</v>
      </c>
      <c r="Q383" s="88">
        <v>276</v>
      </c>
      <c r="R383" s="88">
        <v>212</v>
      </c>
      <c r="S383" s="88">
        <v>172</v>
      </c>
      <c r="T383" s="88">
        <v>127</v>
      </c>
      <c r="U383" s="88">
        <v>102</v>
      </c>
      <c r="V383" s="88">
        <v>84</v>
      </c>
      <c r="W383" s="88">
        <v>73</v>
      </c>
      <c r="X383" s="88">
        <v>51</v>
      </c>
      <c r="Y383" s="88">
        <v>40</v>
      </c>
      <c r="Z383" s="179">
        <v>26</v>
      </c>
    </row>
    <row r="384" spans="14:26" x14ac:dyDescent="0.2">
      <c r="O384" s="178">
        <v>0.1</v>
      </c>
      <c r="P384" s="201">
        <v>480</v>
      </c>
      <c r="Q384" s="88">
        <v>325</v>
      </c>
      <c r="R384" s="88">
        <v>250</v>
      </c>
      <c r="S384" s="88">
        <v>202</v>
      </c>
      <c r="T384" s="88">
        <v>148</v>
      </c>
      <c r="U384" s="88">
        <v>118</v>
      </c>
      <c r="V384" s="88">
        <v>97</v>
      </c>
      <c r="W384" s="88">
        <v>84</v>
      </c>
      <c r="X384" s="88">
        <v>58</v>
      </c>
      <c r="Y384" s="88">
        <v>45</v>
      </c>
      <c r="Z384" s="179">
        <v>30</v>
      </c>
    </row>
    <row r="385" spans="14:26" x14ac:dyDescent="0.2">
      <c r="O385" s="178">
        <v>0.05</v>
      </c>
      <c r="P385" s="201">
        <v>519</v>
      </c>
      <c r="Q385" s="88">
        <v>375</v>
      </c>
      <c r="R385" s="88">
        <v>290</v>
      </c>
      <c r="S385" s="88">
        <v>235</v>
      </c>
      <c r="T385" s="88">
        <v>172</v>
      </c>
      <c r="U385" s="88">
        <v>137</v>
      </c>
      <c r="V385" s="88">
        <v>113</v>
      </c>
      <c r="W385" s="88">
        <v>96</v>
      </c>
      <c r="X385" s="88">
        <v>66</v>
      </c>
      <c r="Y385" s="88">
        <v>50</v>
      </c>
      <c r="Z385" s="179">
        <v>34</v>
      </c>
    </row>
    <row r="386" spans="14:26" ht="13.5" thickBot="1" x14ac:dyDescent="0.25">
      <c r="O386" s="180">
        <v>3.3000000000000002E-2</v>
      </c>
      <c r="P386" s="211">
        <v>580</v>
      </c>
      <c r="Q386" s="212">
        <v>404</v>
      </c>
      <c r="R386" s="212">
        <v>312</v>
      </c>
      <c r="S386" s="212">
        <v>254</v>
      </c>
      <c r="T386" s="212">
        <v>186</v>
      </c>
      <c r="U386" s="212">
        <v>147</v>
      </c>
      <c r="V386" s="212">
        <v>121</v>
      </c>
      <c r="W386" s="212">
        <v>103</v>
      </c>
      <c r="X386" s="212">
        <v>70</v>
      </c>
      <c r="Y386" s="212">
        <v>54</v>
      </c>
      <c r="Z386" s="213">
        <v>37</v>
      </c>
    </row>
    <row r="387" spans="14:26" x14ac:dyDescent="0.2">
      <c r="O387" s="178">
        <v>0.02</v>
      </c>
      <c r="P387" s="204">
        <f>P386*1.04</f>
        <v>603.20000000000005</v>
      </c>
      <c r="Q387" s="205">
        <f>Q386*1.05</f>
        <v>424.20000000000005</v>
      </c>
      <c r="R387" s="205">
        <f t="shared" ref="R387:X387" si="83">R386*1.06</f>
        <v>330.72</v>
      </c>
      <c r="S387" s="205">
        <f t="shared" si="83"/>
        <v>269.24</v>
      </c>
      <c r="T387" s="205">
        <f t="shared" si="83"/>
        <v>197.16</v>
      </c>
      <c r="U387" s="205">
        <f t="shared" si="83"/>
        <v>155.82000000000002</v>
      </c>
      <c r="V387" s="205">
        <f t="shared" si="83"/>
        <v>128.26000000000002</v>
      </c>
      <c r="W387" s="205">
        <f t="shared" si="83"/>
        <v>109.18</v>
      </c>
      <c r="X387" s="205">
        <f t="shared" si="83"/>
        <v>74.2</v>
      </c>
      <c r="Y387" s="205">
        <f>Y386*1.07</f>
        <v>57.78</v>
      </c>
      <c r="Z387" s="206">
        <f>Z386*1.07</f>
        <v>39.590000000000003</v>
      </c>
    </row>
    <row r="388" spans="14:26" ht="13.5" thickBot="1" x14ac:dyDescent="0.25">
      <c r="O388" s="180">
        <v>0.01</v>
      </c>
      <c r="P388" s="207">
        <f>P386*1.09</f>
        <v>632.20000000000005</v>
      </c>
      <c r="Q388" s="208">
        <f>Q386*1.1</f>
        <v>444.40000000000003</v>
      </c>
      <c r="R388" s="208">
        <f>R386*1.11</f>
        <v>346.32000000000005</v>
      </c>
      <c r="S388" s="208">
        <f>S386*1.11</f>
        <v>281.94</v>
      </c>
      <c r="T388" s="208">
        <f>T386*1.11</f>
        <v>206.46</v>
      </c>
      <c r="U388" s="208">
        <f>U386*1.12</f>
        <v>164.64000000000001</v>
      </c>
      <c r="V388" s="208">
        <f>V386*1.12</f>
        <v>135.52000000000001</v>
      </c>
      <c r="W388" s="208">
        <f>W386*1.12</f>
        <v>115.36000000000001</v>
      </c>
      <c r="X388" s="208">
        <f>X386*1.13</f>
        <v>79.099999999999994</v>
      </c>
      <c r="Y388" s="208">
        <f>Y386*1.13</f>
        <v>61.019999999999996</v>
      </c>
      <c r="Z388" s="209">
        <f>Z386*1.14</f>
        <v>42.18</v>
      </c>
    </row>
    <row r="390" spans="14:26" ht="13.5" thickBot="1" x14ac:dyDescent="0.25">
      <c r="N390" s="173">
        <v>36</v>
      </c>
      <c r="O390" s="49" t="s">
        <v>151</v>
      </c>
      <c r="R390" s="197" t="s">
        <v>117</v>
      </c>
    </row>
    <row r="391" spans="14:26" ht="13.5" thickBot="1" x14ac:dyDescent="0.25">
      <c r="O391" s="174" t="s">
        <v>52</v>
      </c>
      <c r="P391" s="175">
        <v>5</v>
      </c>
      <c r="Q391" s="176">
        <v>10</v>
      </c>
      <c r="R391" s="176">
        <v>15</v>
      </c>
      <c r="S391" s="176">
        <v>20</v>
      </c>
      <c r="T391" s="176">
        <v>30</v>
      </c>
      <c r="U391" s="176">
        <v>40</v>
      </c>
      <c r="V391" s="176">
        <v>50</v>
      </c>
      <c r="W391" s="176">
        <v>60</v>
      </c>
      <c r="X391" s="176">
        <v>90</v>
      </c>
      <c r="Y391" s="176">
        <v>120</v>
      </c>
      <c r="Z391" s="177">
        <v>180</v>
      </c>
    </row>
    <row r="392" spans="14:26" x14ac:dyDescent="0.2">
      <c r="O392" s="198">
        <v>1</v>
      </c>
      <c r="P392" s="201">
        <v>231</v>
      </c>
      <c r="Q392" s="88">
        <v>157</v>
      </c>
      <c r="R392" s="88">
        <v>122</v>
      </c>
      <c r="S392" s="88">
        <v>100</v>
      </c>
      <c r="T392" s="88">
        <v>76</v>
      </c>
      <c r="U392" s="88">
        <v>62</v>
      </c>
      <c r="V392" s="88">
        <v>52</v>
      </c>
      <c r="W392" s="88">
        <v>45</v>
      </c>
      <c r="X392" s="88">
        <v>32</v>
      </c>
      <c r="Y392" s="88">
        <v>25</v>
      </c>
      <c r="Z392" s="179">
        <v>17</v>
      </c>
    </row>
    <row r="393" spans="14:26" x14ac:dyDescent="0.2">
      <c r="O393" s="178">
        <v>0.5</v>
      </c>
      <c r="P393" s="201">
        <v>278</v>
      </c>
      <c r="Q393" s="88">
        <v>197</v>
      </c>
      <c r="R393" s="88">
        <v>155</v>
      </c>
      <c r="S393" s="88">
        <v>128</v>
      </c>
      <c r="T393" s="88">
        <v>96</v>
      </c>
      <c r="U393" s="88">
        <v>78</v>
      </c>
      <c r="V393" s="88">
        <v>66</v>
      </c>
      <c r="W393" s="88">
        <v>57</v>
      </c>
      <c r="X393" s="88">
        <v>41</v>
      </c>
      <c r="Y393" s="88">
        <v>32</v>
      </c>
      <c r="Z393" s="179">
        <v>22</v>
      </c>
    </row>
    <row r="394" spans="14:26" x14ac:dyDescent="0.2">
      <c r="O394" s="178">
        <v>0.2</v>
      </c>
      <c r="P394" s="201">
        <v>345</v>
      </c>
      <c r="Q394" s="88">
        <v>250</v>
      </c>
      <c r="R394" s="88">
        <v>198</v>
      </c>
      <c r="S394" s="88">
        <v>165</v>
      </c>
      <c r="T394" s="88">
        <v>125</v>
      </c>
      <c r="U394" s="88">
        <v>100</v>
      </c>
      <c r="V394" s="88">
        <v>84</v>
      </c>
      <c r="W394" s="88">
        <v>73</v>
      </c>
      <c r="X394" s="88">
        <v>52</v>
      </c>
      <c r="Y394" s="88">
        <v>40</v>
      </c>
      <c r="Z394" s="179">
        <v>28</v>
      </c>
    </row>
    <row r="395" spans="14:26" x14ac:dyDescent="0.2">
      <c r="O395" s="178">
        <v>0.1</v>
      </c>
      <c r="P395" s="201">
        <v>393</v>
      </c>
      <c r="Q395" s="88">
        <v>287</v>
      </c>
      <c r="R395" s="88">
        <v>230</v>
      </c>
      <c r="S395" s="88">
        <v>192</v>
      </c>
      <c r="T395" s="88">
        <v>147</v>
      </c>
      <c r="U395" s="88">
        <v>118</v>
      </c>
      <c r="V395" s="88">
        <v>98</v>
      </c>
      <c r="W395" s="88">
        <v>85</v>
      </c>
      <c r="X395" s="88">
        <v>61</v>
      </c>
      <c r="Y395" s="88">
        <v>48</v>
      </c>
      <c r="Z395" s="179">
        <v>33</v>
      </c>
    </row>
    <row r="396" spans="14:26" x14ac:dyDescent="0.2">
      <c r="O396" s="178">
        <v>0.05</v>
      </c>
      <c r="P396" s="201">
        <v>430</v>
      </c>
      <c r="Q396" s="88">
        <v>320</v>
      </c>
      <c r="R396" s="88">
        <v>260</v>
      </c>
      <c r="S396" s="88">
        <v>220</v>
      </c>
      <c r="T396" s="88">
        <v>168</v>
      </c>
      <c r="U396" s="88">
        <v>135</v>
      </c>
      <c r="V396" s="88">
        <v>113</v>
      </c>
      <c r="W396" s="88">
        <v>96</v>
      </c>
      <c r="X396" s="88">
        <v>69</v>
      </c>
      <c r="Y396" s="88">
        <v>54</v>
      </c>
      <c r="Z396" s="179">
        <v>37</v>
      </c>
    </row>
    <row r="397" spans="14:26" ht="13.5" thickBot="1" x14ac:dyDescent="0.25">
      <c r="O397" s="180">
        <v>3.3000000000000002E-2</v>
      </c>
      <c r="P397" s="211">
        <v>453</v>
      </c>
      <c r="Q397" s="212">
        <v>339</v>
      </c>
      <c r="R397" s="212">
        <v>276</v>
      </c>
      <c r="S397" s="212">
        <v>233</v>
      </c>
      <c r="T397" s="212">
        <v>180</v>
      </c>
      <c r="U397" s="212">
        <v>147</v>
      </c>
      <c r="V397" s="212">
        <v>123</v>
      </c>
      <c r="W397" s="212">
        <v>106</v>
      </c>
      <c r="X397" s="212">
        <v>75</v>
      </c>
      <c r="Y397" s="212">
        <v>58</v>
      </c>
      <c r="Z397" s="213">
        <v>40</v>
      </c>
    </row>
    <row r="398" spans="14:26" x14ac:dyDescent="0.2">
      <c r="O398" s="178">
        <v>0.02</v>
      </c>
      <c r="P398" s="204">
        <f>P397*1.04</f>
        <v>471.12</v>
      </c>
      <c r="Q398" s="205">
        <f>Q397*1.05</f>
        <v>355.95</v>
      </c>
      <c r="R398" s="205">
        <f t="shared" ref="R398:X398" si="84">R397*1.06</f>
        <v>292.56</v>
      </c>
      <c r="S398" s="205">
        <f t="shared" si="84"/>
        <v>246.98000000000002</v>
      </c>
      <c r="T398" s="205">
        <f t="shared" si="84"/>
        <v>190.8</v>
      </c>
      <c r="U398" s="205">
        <f t="shared" si="84"/>
        <v>155.82000000000002</v>
      </c>
      <c r="V398" s="205">
        <f t="shared" si="84"/>
        <v>130.38</v>
      </c>
      <c r="W398" s="205">
        <f t="shared" si="84"/>
        <v>112.36</v>
      </c>
      <c r="X398" s="205">
        <f t="shared" si="84"/>
        <v>79.5</v>
      </c>
      <c r="Y398" s="205">
        <f>Y397*1.07</f>
        <v>62.06</v>
      </c>
      <c r="Z398" s="206">
        <f>Z397*1.07</f>
        <v>42.800000000000004</v>
      </c>
    </row>
    <row r="399" spans="14:26" ht="13.5" thickBot="1" x14ac:dyDescent="0.25">
      <c r="O399" s="180">
        <v>0.01</v>
      </c>
      <c r="P399" s="207">
        <f>P397*1.09</f>
        <v>493.77000000000004</v>
      </c>
      <c r="Q399" s="208">
        <f>Q397*1.1</f>
        <v>372.90000000000003</v>
      </c>
      <c r="R399" s="208">
        <f>R397*1.11</f>
        <v>306.36</v>
      </c>
      <c r="S399" s="208">
        <f>S397*1.11</f>
        <v>258.63</v>
      </c>
      <c r="T399" s="208">
        <f>T397*1.11</f>
        <v>199.8</v>
      </c>
      <c r="U399" s="208">
        <f>U397*1.12</f>
        <v>164.64000000000001</v>
      </c>
      <c r="V399" s="208">
        <f>V397*1.12</f>
        <v>137.76000000000002</v>
      </c>
      <c r="W399" s="208">
        <f>W397*1.12</f>
        <v>118.72000000000001</v>
      </c>
      <c r="X399" s="208">
        <f>X397*1.13</f>
        <v>84.749999999999986</v>
      </c>
      <c r="Y399" s="208">
        <f>Y397*1.13</f>
        <v>65.539999999999992</v>
      </c>
      <c r="Z399" s="209">
        <f>Z397*1.14</f>
        <v>45.599999999999994</v>
      </c>
    </row>
    <row r="401" spans="14:26" ht="13.5" thickBot="1" x14ac:dyDescent="0.25">
      <c r="N401" s="173">
        <v>37</v>
      </c>
      <c r="O401" s="49" t="s">
        <v>152</v>
      </c>
      <c r="R401" s="197" t="s">
        <v>117</v>
      </c>
    </row>
    <row r="402" spans="14:26" ht="13.5" thickBot="1" x14ac:dyDescent="0.25">
      <c r="O402" s="174" t="s">
        <v>52</v>
      </c>
      <c r="P402" s="175">
        <v>5</v>
      </c>
      <c r="Q402" s="176">
        <v>10</v>
      </c>
      <c r="R402" s="176">
        <v>15</v>
      </c>
      <c r="S402" s="176">
        <v>20</v>
      </c>
      <c r="T402" s="176">
        <v>30</v>
      </c>
      <c r="U402" s="176">
        <v>40</v>
      </c>
      <c r="V402" s="176">
        <v>50</v>
      </c>
      <c r="W402" s="176">
        <v>60</v>
      </c>
      <c r="X402" s="176">
        <v>90</v>
      </c>
      <c r="Y402" s="176">
        <v>120</v>
      </c>
      <c r="Z402" s="177">
        <v>180</v>
      </c>
    </row>
    <row r="403" spans="14:26" x14ac:dyDescent="0.2">
      <c r="O403" s="198">
        <v>1</v>
      </c>
      <c r="P403" s="201">
        <v>237</v>
      </c>
      <c r="Q403" s="88">
        <v>166</v>
      </c>
      <c r="R403" s="88">
        <v>127</v>
      </c>
      <c r="S403" s="88">
        <v>104</v>
      </c>
      <c r="T403" s="88">
        <v>78</v>
      </c>
      <c r="U403" s="88">
        <v>63</v>
      </c>
      <c r="V403" s="88">
        <v>53</v>
      </c>
      <c r="W403" s="88">
        <v>45</v>
      </c>
      <c r="X403" s="88">
        <v>32</v>
      </c>
      <c r="Y403" s="88">
        <v>25</v>
      </c>
      <c r="Z403" s="179">
        <v>17</v>
      </c>
    </row>
    <row r="404" spans="14:26" x14ac:dyDescent="0.2">
      <c r="O404" s="178">
        <v>0.5</v>
      </c>
      <c r="P404" s="201">
        <v>292</v>
      </c>
      <c r="Q404" s="88">
        <v>205</v>
      </c>
      <c r="R404" s="88">
        <v>158</v>
      </c>
      <c r="S404" s="88">
        <v>130</v>
      </c>
      <c r="T404" s="88">
        <v>97</v>
      </c>
      <c r="U404" s="88">
        <v>78</v>
      </c>
      <c r="V404" s="88">
        <v>65</v>
      </c>
      <c r="W404" s="88">
        <v>56</v>
      </c>
      <c r="X404" s="88">
        <v>40</v>
      </c>
      <c r="Y404" s="88">
        <v>31</v>
      </c>
      <c r="Z404" s="179">
        <v>21</v>
      </c>
    </row>
    <row r="405" spans="14:26" x14ac:dyDescent="0.2">
      <c r="O405" s="178">
        <v>0.2</v>
      </c>
      <c r="P405" s="201">
        <v>353</v>
      </c>
      <c r="Q405" s="88">
        <v>254</v>
      </c>
      <c r="R405" s="88">
        <v>197</v>
      </c>
      <c r="S405" s="88">
        <v>160</v>
      </c>
      <c r="T405" s="88">
        <v>120</v>
      </c>
      <c r="U405" s="88">
        <v>96</v>
      </c>
      <c r="V405" s="88">
        <v>80</v>
      </c>
      <c r="W405" s="88">
        <v>69</v>
      </c>
      <c r="X405" s="88">
        <v>49</v>
      </c>
      <c r="Y405" s="88">
        <v>38</v>
      </c>
      <c r="Z405" s="179">
        <v>26</v>
      </c>
    </row>
    <row r="406" spans="14:26" x14ac:dyDescent="0.2">
      <c r="O406" s="178">
        <v>0.1</v>
      </c>
      <c r="P406" s="201">
        <v>115</v>
      </c>
      <c r="Q406" s="88">
        <v>290</v>
      </c>
      <c r="R406" s="88">
        <v>225</v>
      </c>
      <c r="S406" s="88">
        <v>183</v>
      </c>
      <c r="T406" s="88">
        <v>136</v>
      </c>
      <c r="U406" s="88">
        <v>108</v>
      </c>
      <c r="V406" s="88">
        <v>90</v>
      </c>
      <c r="W406" s="88">
        <v>77</v>
      </c>
      <c r="X406" s="88">
        <v>54</v>
      </c>
      <c r="Y406" s="88">
        <v>42</v>
      </c>
      <c r="Z406" s="179">
        <v>29</v>
      </c>
    </row>
    <row r="407" spans="14:26" x14ac:dyDescent="0.2">
      <c r="O407" s="178">
        <v>0.05</v>
      </c>
      <c r="P407" s="201">
        <v>454</v>
      </c>
      <c r="Q407" s="88">
        <v>312</v>
      </c>
      <c r="R407" s="88">
        <v>242</v>
      </c>
      <c r="S407" s="88">
        <v>199</v>
      </c>
      <c r="T407" s="88">
        <v>148</v>
      </c>
      <c r="U407" s="88">
        <v>120</v>
      </c>
      <c r="V407" s="88">
        <v>99</v>
      </c>
      <c r="W407" s="88">
        <v>86</v>
      </c>
      <c r="X407" s="88">
        <v>60</v>
      </c>
      <c r="Y407" s="88">
        <v>47</v>
      </c>
      <c r="Z407" s="179">
        <v>32</v>
      </c>
    </row>
    <row r="408" spans="14:26" x14ac:dyDescent="0.2">
      <c r="O408" s="178">
        <v>3.3000000000000002E-2</v>
      </c>
      <c r="P408" s="201">
        <v>486</v>
      </c>
      <c r="Q408" s="88">
        <v>334</v>
      </c>
      <c r="R408" s="88">
        <v>260</v>
      </c>
      <c r="S408" s="88">
        <v>214</v>
      </c>
      <c r="T408" s="88">
        <v>160</v>
      </c>
      <c r="U408" s="88">
        <v>129</v>
      </c>
      <c r="V408" s="88">
        <v>108</v>
      </c>
      <c r="W408" s="88">
        <v>93</v>
      </c>
      <c r="X408" s="88">
        <v>66</v>
      </c>
      <c r="Y408" s="88">
        <v>51</v>
      </c>
      <c r="Z408" s="179">
        <v>36</v>
      </c>
    </row>
    <row r="409" spans="14:26" ht="13.5" thickBot="1" x14ac:dyDescent="0.25">
      <c r="O409" s="180">
        <v>0.02</v>
      </c>
      <c r="P409" s="211">
        <v>508</v>
      </c>
      <c r="Q409" s="212">
        <v>354</v>
      </c>
      <c r="R409" s="212">
        <v>276</v>
      </c>
      <c r="S409" s="212">
        <v>228</v>
      </c>
      <c r="T409" s="212">
        <v>170</v>
      </c>
      <c r="U409" s="212">
        <v>138</v>
      </c>
      <c r="V409" s="212">
        <v>115</v>
      </c>
      <c r="W409" s="212">
        <v>98</v>
      </c>
      <c r="X409" s="212">
        <v>70</v>
      </c>
      <c r="Y409" s="212">
        <v>55</v>
      </c>
      <c r="Z409" s="213">
        <v>38</v>
      </c>
    </row>
    <row r="410" spans="14:26" ht="13.5" thickBot="1" x14ac:dyDescent="0.25">
      <c r="O410" s="174">
        <v>0.01</v>
      </c>
      <c r="P410" s="223">
        <f t="shared" ref="P410:V410" si="85">P409*1.05</f>
        <v>533.4</v>
      </c>
      <c r="Q410" s="217">
        <f t="shared" si="85"/>
        <v>371.7</v>
      </c>
      <c r="R410" s="217">
        <f t="shared" si="85"/>
        <v>289.8</v>
      </c>
      <c r="S410" s="217">
        <f t="shared" si="85"/>
        <v>239.4</v>
      </c>
      <c r="T410" s="217">
        <f t="shared" si="85"/>
        <v>178.5</v>
      </c>
      <c r="U410" s="217">
        <f t="shared" si="85"/>
        <v>144.9</v>
      </c>
      <c r="V410" s="217">
        <f t="shared" si="85"/>
        <v>120.75</v>
      </c>
      <c r="W410" s="217">
        <f>W409*1.06</f>
        <v>103.88000000000001</v>
      </c>
      <c r="X410" s="217">
        <f>X409*1.06</f>
        <v>74.2</v>
      </c>
      <c r="Y410" s="217">
        <f>Y409*1.06</f>
        <v>58.300000000000004</v>
      </c>
      <c r="Z410" s="224">
        <f>Z409*1.07</f>
        <v>40.660000000000004</v>
      </c>
    </row>
    <row r="412" spans="14:26" ht="13.5" thickBot="1" x14ac:dyDescent="0.25">
      <c r="N412" s="173">
        <v>38</v>
      </c>
      <c r="O412" s="49" t="s">
        <v>153</v>
      </c>
      <c r="R412" s="197" t="s">
        <v>117</v>
      </c>
    </row>
    <row r="413" spans="14:26" ht="13.5" thickBot="1" x14ac:dyDescent="0.25">
      <c r="O413" s="174" t="s">
        <v>52</v>
      </c>
      <c r="P413" s="175">
        <v>5</v>
      </c>
      <c r="Q413" s="176">
        <v>10</v>
      </c>
      <c r="R413" s="176">
        <v>15</v>
      </c>
      <c r="S413" s="176">
        <v>20</v>
      </c>
      <c r="T413" s="176">
        <v>30</v>
      </c>
      <c r="U413" s="176">
        <v>40</v>
      </c>
      <c r="V413" s="176">
        <v>50</v>
      </c>
      <c r="W413" s="176">
        <v>60</v>
      </c>
      <c r="X413" s="176">
        <v>90</v>
      </c>
      <c r="Y413" s="176">
        <v>120</v>
      </c>
      <c r="Z413" s="177">
        <v>180</v>
      </c>
    </row>
    <row r="414" spans="14:26" x14ac:dyDescent="0.2">
      <c r="O414" s="198">
        <v>1</v>
      </c>
      <c r="P414" s="201">
        <v>267</v>
      </c>
      <c r="Q414" s="88">
        <v>178</v>
      </c>
      <c r="R414" s="88">
        <v>138</v>
      </c>
      <c r="S414" s="88">
        <v>114</v>
      </c>
      <c r="T414" s="88">
        <v>85</v>
      </c>
      <c r="U414" s="88">
        <v>70</v>
      </c>
      <c r="V414" s="88">
        <v>58</v>
      </c>
      <c r="W414" s="88">
        <v>51</v>
      </c>
      <c r="X414" s="88">
        <v>36</v>
      </c>
      <c r="Y414" s="88">
        <v>28</v>
      </c>
      <c r="Z414" s="179">
        <v>20</v>
      </c>
    </row>
    <row r="415" spans="14:26" x14ac:dyDescent="0.2">
      <c r="O415" s="178">
        <v>0.5</v>
      </c>
      <c r="P415" s="201">
        <v>311</v>
      </c>
      <c r="Q415" s="88">
        <v>211</v>
      </c>
      <c r="R415" s="88">
        <v>163</v>
      </c>
      <c r="S415" s="88">
        <v>135</v>
      </c>
      <c r="T415" s="88">
        <v>100</v>
      </c>
      <c r="U415" s="88">
        <v>83</v>
      </c>
      <c r="V415" s="88">
        <v>70</v>
      </c>
      <c r="W415" s="88">
        <v>60</v>
      </c>
      <c r="X415" s="88">
        <v>44</v>
      </c>
      <c r="Y415" s="88">
        <v>34</v>
      </c>
      <c r="Z415" s="179">
        <v>24</v>
      </c>
    </row>
    <row r="416" spans="14:26" x14ac:dyDescent="0.2">
      <c r="O416" s="178">
        <v>0.2</v>
      </c>
      <c r="P416" s="201">
        <v>382</v>
      </c>
      <c r="Q416" s="88">
        <v>254</v>
      </c>
      <c r="R416" s="88">
        <v>198</v>
      </c>
      <c r="S416" s="88">
        <v>163</v>
      </c>
      <c r="T416" s="88">
        <v>122</v>
      </c>
      <c r="U416" s="88">
        <v>98</v>
      </c>
      <c r="V416" s="88">
        <v>83</v>
      </c>
      <c r="W416" s="88">
        <v>72</v>
      </c>
      <c r="X416" s="88">
        <v>64</v>
      </c>
      <c r="Y416" s="88">
        <v>40</v>
      </c>
      <c r="Z416" s="179">
        <v>28</v>
      </c>
    </row>
    <row r="417" spans="14:26" x14ac:dyDescent="0.2">
      <c r="O417" s="178">
        <v>0.1</v>
      </c>
      <c r="P417" s="201">
        <v>430</v>
      </c>
      <c r="Q417" s="88">
        <v>286</v>
      </c>
      <c r="R417" s="88">
        <v>221</v>
      </c>
      <c r="S417" s="88">
        <v>182</v>
      </c>
      <c r="T417" s="88">
        <v>137</v>
      </c>
      <c r="U417" s="88">
        <v>111</v>
      </c>
      <c r="V417" s="88">
        <v>92</v>
      </c>
      <c r="W417" s="88">
        <v>80</v>
      </c>
      <c r="X417" s="88">
        <v>57</v>
      </c>
      <c r="Y417" s="88">
        <v>45</v>
      </c>
      <c r="Z417" s="179">
        <v>31</v>
      </c>
    </row>
    <row r="418" spans="14:26" x14ac:dyDescent="0.2">
      <c r="O418" s="178">
        <v>0.05</v>
      </c>
      <c r="P418" s="201">
        <v>470</v>
      </c>
      <c r="Q418" s="88">
        <v>313</v>
      </c>
      <c r="R418" s="88">
        <v>243</v>
      </c>
      <c r="S418" s="88">
        <v>200</v>
      </c>
      <c r="T418" s="88">
        <v>150</v>
      </c>
      <c r="U418" s="88">
        <v>121</v>
      </c>
      <c r="V418" s="88">
        <v>100</v>
      </c>
      <c r="W418" s="88">
        <v>88</v>
      </c>
      <c r="X418" s="88">
        <v>63</v>
      </c>
      <c r="Y418" s="88">
        <v>49</v>
      </c>
      <c r="Z418" s="179">
        <v>34</v>
      </c>
    </row>
    <row r="419" spans="14:26" ht="13.5" thickBot="1" x14ac:dyDescent="0.25">
      <c r="O419" s="180">
        <v>3.3000000000000002E-2</v>
      </c>
      <c r="P419" s="211">
        <v>493</v>
      </c>
      <c r="Q419" s="212">
        <v>331</v>
      </c>
      <c r="R419" s="212">
        <v>257</v>
      </c>
      <c r="S419" s="212">
        <v>210</v>
      </c>
      <c r="T419" s="212">
        <v>158</v>
      </c>
      <c r="U419" s="212">
        <v>128</v>
      </c>
      <c r="V419" s="212">
        <v>108</v>
      </c>
      <c r="W419" s="212">
        <v>93</v>
      </c>
      <c r="X419" s="212">
        <v>67</v>
      </c>
      <c r="Y419" s="212">
        <v>52</v>
      </c>
      <c r="Z419" s="213">
        <v>36</v>
      </c>
    </row>
    <row r="420" spans="14:26" x14ac:dyDescent="0.2">
      <c r="O420" s="178">
        <v>0.02</v>
      </c>
      <c r="P420" s="204">
        <f>P419*1.04</f>
        <v>512.72</v>
      </c>
      <c r="Q420" s="205">
        <f>Q419*1.05</f>
        <v>347.55</v>
      </c>
      <c r="R420" s="205">
        <f t="shared" ref="R420:X420" si="86">R419*1.06</f>
        <v>272.42</v>
      </c>
      <c r="S420" s="205">
        <f t="shared" si="86"/>
        <v>222.60000000000002</v>
      </c>
      <c r="T420" s="205">
        <f t="shared" si="86"/>
        <v>167.48000000000002</v>
      </c>
      <c r="U420" s="205">
        <f t="shared" si="86"/>
        <v>135.68</v>
      </c>
      <c r="V420" s="205">
        <f t="shared" si="86"/>
        <v>114.48</v>
      </c>
      <c r="W420" s="205">
        <f t="shared" si="86"/>
        <v>98.58</v>
      </c>
      <c r="X420" s="205">
        <f t="shared" si="86"/>
        <v>71.02000000000001</v>
      </c>
      <c r="Y420" s="205">
        <f>Y419*1.07</f>
        <v>55.64</v>
      </c>
      <c r="Z420" s="206">
        <f>Z419*1.07</f>
        <v>38.520000000000003</v>
      </c>
    </row>
    <row r="421" spans="14:26" ht="13.5" thickBot="1" x14ac:dyDescent="0.25">
      <c r="O421" s="180">
        <v>0.01</v>
      </c>
      <c r="P421" s="207">
        <f>P419*1.09</f>
        <v>537.37</v>
      </c>
      <c r="Q421" s="208">
        <f>Q419*1.1</f>
        <v>364.1</v>
      </c>
      <c r="R421" s="208">
        <f>R419*1.11</f>
        <v>285.27000000000004</v>
      </c>
      <c r="S421" s="208">
        <f>S419*1.11</f>
        <v>233.10000000000002</v>
      </c>
      <c r="T421" s="208">
        <f>T419*1.11</f>
        <v>175.38000000000002</v>
      </c>
      <c r="U421" s="208">
        <f>U419*1.12</f>
        <v>143.36000000000001</v>
      </c>
      <c r="V421" s="208">
        <f>V419*1.12</f>
        <v>120.96000000000001</v>
      </c>
      <c r="W421" s="208">
        <f>W419*1.12</f>
        <v>104.16000000000001</v>
      </c>
      <c r="X421" s="208">
        <f>X419*1.13</f>
        <v>75.709999999999994</v>
      </c>
      <c r="Y421" s="208">
        <f>Y419*1.13</f>
        <v>58.759999999999991</v>
      </c>
      <c r="Z421" s="209">
        <f>Z419*1.14</f>
        <v>41.04</v>
      </c>
    </row>
    <row r="423" spans="14:26" ht="13.5" thickBot="1" x14ac:dyDescent="0.25">
      <c r="N423" s="173">
        <v>39</v>
      </c>
      <c r="O423" s="49" t="s">
        <v>154</v>
      </c>
      <c r="R423" s="197" t="s">
        <v>117</v>
      </c>
    </row>
    <row r="424" spans="14:26" ht="13.5" thickBot="1" x14ac:dyDescent="0.25">
      <c r="O424" s="174" t="s">
        <v>52</v>
      </c>
      <c r="P424" s="175">
        <v>5</v>
      </c>
      <c r="Q424" s="176">
        <v>10</v>
      </c>
      <c r="R424" s="176">
        <v>15</v>
      </c>
      <c r="S424" s="176">
        <v>20</v>
      </c>
      <c r="T424" s="176">
        <v>30</v>
      </c>
      <c r="U424" s="176">
        <v>40</v>
      </c>
      <c r="V424" s="176">
        <v>50</v>
      </c>
      <c r="W424" s="176">
        <v>60</v>
      </c>
      <c r="X424" s="176">
        <v>90</v>
      </c>
      <c r="Y424" s="176">
        <v>120</v>
      </c>
      <c r="Z424" s="177">
        <v>180</v>
      </c>
    </row>
    <row r="425" spans="14:26" x14ac:dyDescent="0.2">
      <c r="O425" s="198">
        <v>1</v>
      </c>
      <c r="P425" s="201">
        <v>250</v>
      </c>
      <c r="Q425" s="88">
        <v>172</v>
      </c>
      <c r="R425" s="88">
        <v>133</v>
      </c>
      <c r="S425" s="88">
        <v>110</v>
      </c>
      <c r="T425" s="88">
        <v>80</v>
      </c>
      <c r="U425" s="88">
        <v>64</v>
      </c>
      <c r="V425" s="88">
        <v>54</v>
      </c>
      <c r="W425" s="88">
        <v>46</v>
      </c>
      <c r="X425" s="88">
        <v>32</v>
      </c>
      <c r="Y425" s="88">
        <v>24</v>
      </c>
      <c r="Z425" s="179">
        <v>16</v>
      </c>
    </row>
    <row r="426" spans="14:26" x14ac:dyDescent="0.2">
      <c r="O426" s="178">
        <v>0.5</v>
      </c>
      <c r="P426" s="201">
        <v>301</v>
      </c>
      <c r="Q426" s="88">
        <v>211</v>
      </c>
      <c r="R426" s="88">
        <v>163</v>
      </c>
      <c r="S426" s="88">
        <v>135</v>
      </c>
      <c r="T426" s="88">
        <v>100</v>
      </c>
      <c r="U426" s="88">
        <v>80</v>
      </c>
      <c r="V426" s="88">
        <v>66</v>
      </c>
      <c r="W426" s="88">
        <v>57</v>
      </c>
      <c r="X426" s="88">
        <v>40</v>
      </c>
      <c r="Y426" s="88">
        <v>31</v>
      </c>
      <c r="Z426" s="179">
        <v>21</v>
      </c>
    </row>
    <row r="427" spans="14:26" x14ac:dyDescent="0.2">
      <c r="O427" s="178">
        <v>0.2</v>
      </c>
      <c r="P427" s="201">
        <v>366</v>
      </c>
      <c r="Q427" s="88">
        <v>261</v>
      </c>
      <c r="R427" s="88">
        <v>204</v>
      </c>
      <c r="S427" s="88">
        <v>170</v>
      </c>
      <c r="T427" s="88">
        <v>128</v>
      </c>
      <c r="U427" s="88">
        <v>102</v>
      </c>
      <c r="V427" s="88">
        <v>85</v>
      </c>
      <c r="W427" s="88">
        <v>74</v>
      </c>
      <c r="X427" s="88">
        <v>52</v>
      </c>
      <c r="Y427" s="88">
        <v>41</v>
      </c>
      <c r="Z427" s="179">
        <v>28</v>
      </c>
    </row>
    <row r="428" spans="14:26" x14ac:dyDescent="0.2">
      <c r="O428" s="178">
        <v>0.1</v>
      </c>
      <c r="P428" s="201">
        <v>420</v>
      </c>
      <c r="Q428" s="88">
        <v>300</v>
      </c>
      <c r="R428" s="88">
        <v>240</v>
      </c>
      <c r="S428" s="88">
        <v>198</v>
      </c>
      <c r="T428" s="88">
        <v>150</v>
      </c>
      <c r="U428" s="88">
        <v>122</v>
      </c>
      <c r="V428" s="88">
        <v>102</v>
      </c>
      <c r="W428" s="88">
        <v>88</v>
      </c>
      <c r="X428" s="88">
        <v>64</v>
      </c>
      <c r="Y428" s="88">
        <v>50</v>
      </c>
      <c r="Z428" s="179">
        <v>34</v>
      </c>
    </row>
    <row r="429" spans="14:26" x14ac:dyDescent="0.2">
      <c r="O429" s="178">
        <v>0.05</v>
      </c>
      <c r="P429" s="201">
        <v>467</v>
      </c>
      <c r="Q429" s="88">
        <v>340</v>
      </c>
      <c r="R429" s="88">
        <v>270</v>
      </c>
      <c r="S429" s="88">
        <v>225</v>
      </c>
      <c r="T429" s="88">
        <v>172</v>
      </c>
      <c r="U429" s="88">
        <v>140</v>
      </c>
      <c r="V429" s="88">
        <v>118</v>
      </c>
      <c r="W429" s="88">
        <v>102</v>
      </c>
      <c r="X429" s="88">
        <v>74</v>
      </c>
      <c r="Y429" s="88">
        <v>58</v>
      </c>
      <c r="Z429" s="88">
        <v>41</v>
      </c>
    </row>
    <row r="430" spans="14:26" ht="13.5" thickBot="1" x14ac:dyDescent="0.25">
      <c r="O430" s="180">
        <v>3.3000000000000002E-2</v>
      </c>
      <c r="P430" s="211">
        <v>496</v>
      </c>
      <c r="Q430" s="212">
        <v>365</v>
      </c>
      <c r="R430" s="212">
        <v>291</v>
      </c>
      <c r="S430" s="212">
        <v>245</v>
      </c>
      <c r="T430" s="212">
        <v>187</v>
      </c>
      <c r="U430" s="212">
        <v>152</v>
      </c>
      <c r="V430" s="212">
        <v>128</v>
      </c>
      <c r="W430" s="212">
        <v>112</v>
      </c>
      <c r="X430" s="212">
        <v>80</v>
      </c>
      <c r="Y430" s="212">
        <v>63</v>
      </c>
      <c r="Z430" s="213">
        <v>45</v>
      </c>
    </row>
    <row r="431" spans="14:26" x14ac:dyDescent="0.2">
      <c r="O431" s="178">
        <v>0.02</v>
      </c>
      <c r="P431" s="204">
        <f>P430*1.04</f>
        <v>515.84</v>
      </c>
      <c r="Q431" s="205">
        <f>Q430*1.05</f>
        <v>383.25</v>
      </c>
      <c r="R431" s="205">
        <f t="shared" ref="R431:X431" si="87">R430*1.06</f>
        <v>308.46000000000004</v>
      </c>
      <c r="S431" s="205">
        <f t="shared" si="87"/>
        <v>259.7</v>
      </c>
      <c r="T431" s="205">
        <f t="shared" si="87"/>
        <v>198.22</v>
      </c>
      <c r="U431" s="205">
        <f t="shared" si="87"/>
        <v>161.12</v>
      </c>
      <c r="V431" s="205">
        <f t="shared" si="87"/>
        <v>135.68</v>
      </c>
      <c r="W431" s="205">
        <f t="shared" si="87"/>
        <v>118.72</v>
      </c>
      <c r="X431" s="205">
        <f t="shared" si="87"/>
        <v>84.800000000000011</v>
      </c>
      <c r="Y431" s="205">
        <f>Y430*1.07</f>
        <v>67.410000000000011</v>
      </c>
      <c r="Z431" s="206">
        <f>Z430*1.07</f>
        <v>48.150000000000006</v>
      </c>
    </row>
    <row r="432" spans="14:26" ht="13.5" thickBot="1" x14ac:dyDescent="0.25">
      <c r="O432" s="180">
        <v>0.01</v>
      </c>
      <c r="P432" s="207">
        <f>P430*1.09</f>
        <v>540.64</v>
      </c>
      <c r="Q432" s="208">
        <f>Q430*1.1</f>
        <v>401.50000000000006</v>
      </c>
      <c r="R432" s="208">
        <f>R430*1.11</f>
        <v>323.01000000000005</v>
      </c>
      <c r="S432" s="208">
        <f>S430*1.11</f>
        <v>271.95000000000005</v>
      </c>
      <c r="T432" s="208">
        <f>T430*1.11</f>
        <v>207.57000000000002</v>
      </c>
      <c r="U432" s="208">
        <f>U430*1.12</f>
        <v>170.24</v>
      </c>
      <c r="V432" s="208">
        <f>V430*1.12</f>
        <v>143.36000000000001</v>
      </c>
      <c r="W432" s="208">
        <f>W430*1.12</f>
        <v>125.44000000000001</v>
      </c>
      <c r="X432" s="208">
        <f>X430*1.13</f>
        <v>90.399999999999991</v>
      </c>
      <c r="Y432" s="208">
        <f>Y430*1.13</f>
        <v>71.19</v>
      </c>
      <c r="Z432" s="209">
        <f>Z430*1.14</f>
        <v>51.3</v>
      </c>
    </row>
    <row r="434" spans="14:26" ht="13.5" thickBot="1" x14ac:dyDescent="0.25">
      <c r="N434" s="173">
        <v>40</v>
      </c>
      <c r="O434" s="49" t="s">
        <v>155</v>
      </c>
      <c r="R434" s="197" t="s">
        <v>117</v>
      </c>
    </row>
    <row r="435" spans="14:26" ht="13.5" thickBot="1" x14ac:dyDescent="0.25">
      <c r="O435" s="174" t="s">
        <v>52</v>
      </c>
      <c r="P435" s="175">
        <v>5</v>
      </c>
      <c r="Q435" s="176">
        <v>10</v>
      </c>
      <c r="R435" s="176">
        <v>15</v>
      </c>
      <c r="S435" s="176">
        <v>20</v>
      </c>
      <c r="T435" s="176">
        <v>30</v>
      </c>
      <c r="U435" s="176">
        <v>40</v>
      </c>
      <c r="V435" s="176">
        <v>50</v>
      </c>
      <c r="W435" s="176">
        <v>60</v>
      </c>
      <c r="X435" s="176">
        <v>90</v>
      </c>
      <c r="Y435" s="176">
        <v>120</v>
      </c>
      <c r="Z435" s="177">
        <v>180</v>
      </c>
    </row>
    <row r="436" spans="14:26" x14ac:dyDescent="0.2">
      <c r="O436" s="198">
        <v>1</v>
      </c>
      <c r="P436" s="201">
        <v>250</v>
      </c>
      <c r="Q436" s="88">
        <v>169</v>
      </c>
      <c r="R436" s="88">
        <v>132</v>
      </c>
      <c r="S436" s="88">
        <v>108</v>
      </c>
      <c r="T436" s="88">
        <v>81</v>
      </c>
      <c r="U436" s="88">
        <v>65</v>
      </c>
      <c r="V436" s="88">
        <v>55</v>
      </c>
      <c r="W436" s="88">
        <v>47</v>
      </c>
      <c r="X436" s="88">
        <v>34</v>
      </c>
      <c r="Y436" s="88">
        <v>26</v>
      </c>
      <c r="Z436" s="179">
        <v>18</v>
      </c>
    </row>
    <row r="437" spans="14:26" x14ac:dyDescent="0.2">
      <c r="O437" s="178">
        <v>0.5</v>
      </c>
      <c r="P437" s="201">
        <v>306</v>
      </c>
      <c r="Q437" s="88">
        <v>209</v>
      </c>
      <c r="R437" s="88">
        <v>162</v>
      </c>
      <c r="S437" s="88">
        <v>134</v>
      </c>
      <c r="T437" s="88">
        <v>101</v>
      </c>
      <c r="U437" s="88">
        <v>82</v>
      </c>
      <c r="V437" s="88">
        <v>69</v>
      </c>
      <c r="W437" s="88">
        <v>60</v>
      </c>
      <c r="X437" s="88">
        <v>43</v>
      </c>
      <c r="Y437" s="88">
        <v>34</v>
      </c>
      <c r="Z437" s="179">
        <v>23</v>
      </c>
    </row>
    <row r="438" spans="14:26" x14ac:dyDescent="0.2">
      <c r="O438" s="178">
        <v>0.2</v>
      </c>
      <c r="P438" s="201">
        <v>370</v>
      </c>
      <c r="Q438" s="88">
        <v>264</v>
      </c>
      <c r="R438" s="88">
        <v>207</v>
      </c>
      <c r="S438" s="88">
        <v>172</v>
      </c>
      <c r="T438" s="88">
        <v>130</v>
      </c>
      <c r="U438" s="88">
        <v>106</v>
      </c>
      <c r="V438" s="88">
        <v>89</v>
      </c>
      <c r="W438" s="88">
        <v>77</v>
      </c>
      <c r="X438" s="88">
        <v>55</v>
      </c>
      <c r="Y438" s="88">
        <v>43</v>
      </c>
      <c r="Z438" s="179">
        <v>30</v>
      </c>
    </row>
    <row r="439" spans="14:26" x14ac:dyDescent="0.2">
      <c r="O439" s="178">
        <v>0.1</v>
      </c>
      <c r="P439" s="201">
        <v>426</v>
      </c>
      <c r="Q439" s="88">
        <v>300</v>
      </c>
      <c r="R439" s="88">
        <v>240</v>
      </c>
      <c r="S439" s="88">
        <v>200</v>
      </c>
      <c r="T439" s="88">
        <v>152</v>
      </c>
      <c r="U439" s="88">
        <v>123</v>
      </c>
      <c r="V439" s="88">
        <v>103</v>
      </c>
      <c r="W439" s="88">
        <v>90</v>
      </c>
      <c r="X439" s="88">
        <v>65</v>
      </c>
      <c r="Y439" s="88">
        <v>50</v>
      </c>
      <c r="Z439" s="179">
        <v>35</v>
      </c>
    </row>
    <row r="440" spans="14:26" x14ac:dyDescent="0.2">
      <c r="O440" s="178">
        <v>0.05</v>
      </c>
      <c r="P440" s="201">
        <v>470</v>
      </c>
      <c r="Q440" s="88">
        <v>338</v>
      </c>
      <c r="R440" s="88">
        <v>268</v>
      </c>
      <c r="S440" s="88">
        <v>225</v>
      </c>
      <c r="T440" s="88">
        <v>170</v>
      </c>
      <c r="U440" s="88">
        <v>139</v>
      </c>
      <c r="V440" s="88">
        <v>117</v>
      </c>
      <c r="W440" s="88">
        <v>102</v>
      </c>
      <c r="X440" s="88">
        <v>73</v>
      </c>
      <c r="Y440" s="88">
        <v>57</v>
      </c>
      <c r="Z440" s="179">
        <v>40</v>
      </c>
    </row>
    <row r="441" spans="14:26" ht="13.5" thickBot="1" x14ac:dyDescent="0.25">
      <c r="O441" s="180">
        <v>3.3000000000000002E-2</v>
      </c>
      <c r="P441" s="211">
        <v>500</v>
      </c>
      <c r="Q441" s="212">
        <v>365</v>
      </c>
      <c r="R441" s="212">
        <v>292</v>
      </c>
      <c r="S441" s="212">
        <v>244</v>
      </c>
      <c r="T441" s="212">
        <v>186</v>
      </c>
      <c r="U441" s="212">
        <v>150</v>
      </c>
      <c r="V441" s="212">
        <v>127</v>
      </c>
      <c r="W441" s="212">
        <v>110</v>
      </c>
      <c r="X441" s="212">
        <v>79</v>
      </c>
      <c r="Y441" s="212">
        <v>62</v>
      </c>
      <c r="Z441" s="213">
        <v>43</v>
      </c>
    </row>
    <row r="442" spans="14:26" x14ac:dyDescent="0.2">
      <c r="O442" s="178">
        <v>0.02</v>
      </c>
      <c r="P442" s="204">
        <f>P441*1.04</f>
        <v>520</v>
      </c>
      <c r="Q442" s="205">
        <f>Q441*1.05</f>
        <v>383.25</v>
      </c>
      <c r="R442" s="205">
        <f t="shared" ref="R442:X442" si="88">R441*1.06</f>
        <v>309.52000000000004</v>
      </c>
      <c r="S442" s="205">
        <f t="shared" si="88"/>
        <v>258.64</v>
      </c>
      <c r="T442" s="205">
        <f t="shared" si="88"/>
        <v>197.16</v>
      </c>
      <c r="U442" s="205">
        <f t="shared" si="88"/>
        <v>159</v>
      </c>
      <c r="V442" s="205">
        <f t="shared" si="88"/>
        <v>134.62</v>
      </c>
      <c r="W442" s="205">
        <f t="shared" si="88"/>
        <v>116.60000000000001</v>
      </c>
      <c r="X442" s="205">
        <f t="shared" si="88"/>
        <v>83.740000000000009</v>
      </c>
      <c r="Y442" s="205">
        <f>Y441*1.07</f>
        <v>66.34</v>
      </c>
      <c r="Z442" s="206">
        <f>Z441*1.07</f>
        <v>46.010000000000005</v>
      </c>
    </row>
    <row r="443" spans="14:26" ht="13.5" thickBot="1" x14ac:dyDescent="0.25">
      <c r="O443" s="180">
        <v>0.01</v>
      </c>
      <c r="P443" s="207">
        <f>P441*1.09</f>
        <v>545</v>
      </c>
      <c r="Q443" s="208">
        <f>Q441*1.1</f>
        <v>401.50000000000006</v>
      </c>
      <c r="R443" s="208">
        <f>R441*1.11</f>
        <v>324.12</v>
      </c>
      <c r="S443" s="208">
        <f>S441*1.11</f>
        <v>270.84000000000003</v>
      </c>
      <c r="T443" s="208">
        <f>T441*1.11</f>
        <v>206.46</v>
      </c>
      <c r="U443" s="208">
        <f>U441*1.12</f>
        <v>168.00000000000003</v>
      </c>
      <c r="V443" s="208">
        <f>V441*1.12</f>
        <v>142.24</v>
      </c>
      <c r="W443" s="208">
        <f>W441*1.12</f>
        <v>123.20000000000002</v>
      </c>
      <c r="X443" s="208">
        <f>X441*1.13</f>
        <v>89.27</v>
      </c>
      <c r="Y443" s="208">
        <f>Y441*1.13</f>
        <v>70.059999999999988</v>
      </c>
      <c r="Z443" s="209">
        <f>Z441*1.14</f>
        <v>49.019999999999996</v>
      </c>
    </row>
    <row r="445" spans="14:26" ht="13.5" thickBot="1" x14ac:dyDescent="0.25">
      <c r="N445" s="173">
        <v>41</v>
      </c>
      <c r="O445" s="49" t="s">
        <v>156</v>
      </c>
      <c r="R445" s="197" t="s">
        <v>117</v>
      </c>
    </row>
    <row r="446" spans="14:26" ht="13.5" thickBot="1" x14ac:dyDescent="0.25">
      <c r="O446" s="174" t="s">
        <v>52</v>
      </c>
      <c r="P446" s="175">
        <v>5</v>
      </c>
      <c r="Q446" s="176">
        <v>10</v>
      </c>
      <c r="R446" s="176">
        <v>15</v>
      </c>
      <c r="S446" s="176">
        <v>20</v>
      </c>
      <c r="T446" s="176">
        <v>30</v>
      </c>
      <c r="U446" s="176">
        <v>40</v>
      </c>
      <c r="V446" s="176">
        <v>50</v>
      </c>
      <c r="W446" s="176">
        <v>60</v>
      </c>
      <c r="X446" s="176">
        <v>90</v>
      </c>
      <c r="Y446" s="176">
        <v>120</v>
      </c>
      <c r="Z446" s="177">
        <v>180</v>
      </c>
    </row>
    <row r="447" spans="14:26" x14ac:dyDescent="0.2">
      <c r="O447" s="198">
        <v>1</v>
      </c>
      <c r="P447" s="201">
        <v>225</v>
      </c>
      <c r="Q447" s="88">
        <v>152</v>
      </c>
      <c r="R447" s="88">
        <v>120</v>
      </c>
      <c r="S447" s="88">
        <v>99</v>
      </c>
      <c r="T447" s="88">
        <v>76</v>
      </c>
      <c r="U447" s="88">
        <v>62</v>
      </c>
      <c r="V447" s="88">
        <v>52</v>
      </c>
      <c r="W447" s="88">
        <v>46</v>
      </c>
      <c r="X447" s="88">
        <v>33</v>
      </c>
      <c r="Y447" s="88">
        <v>26</v>
      </c>
      <c r="Z447" s="179">
        <v>18</v>
      </c>
    </row>
    <row r="448" spans="14:26" x14ac:dyDescent="0.2">
      <c r="O448" s="178">
        <v>0.5</v>
      </c>
      <c r="P448" s="201">
        <v>274</v>
      </c>
      <c r="Q448" s="88">
        <v>188</v>
      </c>
      <c r="R448" s="88">
        <v>147</v>
      </c>
      <c r="S448" s="88">
        <v>123</v>
      </c>
      <c r="T448" s="88">
        <v>94</v>
      </c>
      <c r="U448" s="88">
        <v>77</v>
      </c>
      <c r="V448" s="88">
        <v>65</v>
      </c>
      <c r="W448" s="88">
        <v>57</v>
      </c>
      <c r="X448" s="88">
        <v>42</v>
      </c>
      <c r="Y448" s="88">
        <v>33</v>
      </c>
      <c r="Z448" s="179">
        <v>23</v>
      </c>
    </row>
    <row r="449" spans="14:26" x14ac:dyDescent="0.2">
      <c r="O449" s="178">
        <v>0.2</v>
      </c>
      <c r="P449" s="201">
        <v>344</v>
      </c>
      <c r="Q449" s="88">
        <v>238</v>
      </c>
      <c r="R449" s="88">
        <v>187</v>
      </c>
      <c r="S449" s="88">
        <v>157</v>
      </c>
      <c r="T449" s="88">
        <v>121</v>
      </c>
      <c r="U449" s="88">
        <v>98</v>
      </c>
      <c r="V449" s="88">
        <v>84</v>
      </c>
      <c r="W449" s="88">
        <v>73</v>
      </c>
      <c r="X449" s="88">
        <v>53</v>
      </c>
      <c r="Y449" s="88">
        <v>43</v>
      </c>
      <c r="Z449" s="179">
        <v>31</v>
      </c>
    </row>
    <row r="450" spans="14:26" x14ac:dyDescent="0.2">
      <c r="O450" s="178">
        <v>0.1</v>
      </c>
      <c r="P450" s="201">
        <v>390</v>
      </c>
      <c r="Q450" s="88">
        <v>272</v>
      </c>
      <c r="R450" s="88">
        <v>213</v>
      </c>
      <c r="S450" s="88">
        <v>181</v>
      </c>
      <c r="T450" s="88">
        <v>140</v>
      </c>
      <c r="U450" s="88">
        <v>115</v>
      </c>
      <c r="V450" s="88">
        <v>98</v>
      </c>
      <c r="W450" s="88">
        <v>86</v>
      </c>
      <c r="X450" s="88">
        <v>64</v>
      </c>
      <c r="Y450" s="88">
        <v>51</v>
      </c>
      <c r="Z450" s="179">
        <v>37</v>
      </c>
    </row>
    <row r="451" spans="14:26" x14ac:dyDescent="0.2">
      <c r="O451" s="178">
        <v>0.05</v>
      </c>
      <c r="P451" s="201">
        <v>420</v>
      </c>
      <c r="Q451" s="88">
        <v>300</v>
      </c>
      <c r="R451" s="88">
        <v>241</v>
      </c>
      <c r="S451" s="88">
        <v>203</v>
      </c>
      <c r="T451" s="88">
        <v>158</v>
      </c>
      <c r="U451" s="88">
        <v>132</v>
      </c>
      <c r="V451" s="88">
        <v>113</v>
      </c>
      <c r="W451" s="88">
        <v>98</v>
      </c>
      <c r="X451" s="88">
        <v>74</v>
      </c>
      <c r="Y451" s="88">
        <v>60</v>
      </c>
      <c r="Z451" s="179">
        <v>44</v>
      </c>
    </row>
    <row r="452" spans="14:26" ht="13.5" thickBot="1" x14ac:dyDescent="0.25">
      <c r="O452" s="180">
        <v>3.3000000000000002E-2</v>
      </c>
      <c r="P452" s="211">
        <v>450</v>
      </c>
      <c r="Q452" s="212">
        <v>318</v>
      </c>
      <c r="R452" s="212">
        <v>255</v>
      </c>
      <c r="S452" s="212">
        <v>217</v>
      </c>
      <c r="T452" s="212">
        <v>169</v>
      </c>
      <c r="U452" s="212">
        <v>140</v>
      </c>
      <c r="V452" s="212">
        <v>121</v>
      </c>
      <c r="W452" s="212">
        <v>107</v>
      </c>
      <c r="X452" s="212">
        <v>80</v>
      </c>
      <c r="Y452" s="212">
        <v>65</v>
      </c>
      <c r="Z452" s="213">
        <v>47</v>
      </c>
    </row>
    <row r="453" spans="14:26" x14ac:dyDescent="0.2">
      <c r="O453" s="178">
        <v>0.02</v>
      </c>
      <c r="P453" s="204">
        <f>P452*1.04</f>
        <v>468</v>
      </c>
      <c r="Q453" s="205">
        <f>Q452*1.05</f>
        <v>333.90000000000003</v>
      </c>
      <c r="R453" s="205">
        <f t="shared" ref="R453:X453" si="89">R452*1.06</f>
        <v>270.3</v>
      </c>
      <c r="S453" s="205">
        <f t="shared" si="89"/>
        <v>230.02</v>
      </c>
      <c r="T453" s="205">
        <f t="shared" si="89"/>
        <v>179.14000000000001</v>
      </c>
      <c r="U453" s="205">
        <f t="shared" si="89"/>
        <v>148.4</v>
      </c>
      <c r="V453" s="205">
        <f t="shared" si="89"/>
        <v>128.26000000000002</v>
      </c>
      <c r="W453" s="205">
        <f t="shared" si="89"/>
        <v>113.42</v>
      </c>
      <c r="X453" s="205">
        <f t="shared" si="89"/>
        <v>84.800000000000011</v>
      </c>
      <c r="Y453" s="205">
        <f>Y452*1.07</f>
        <v>69.55</v>
      </c>
      <c r="Z453" s="206">
        <f>Z452*1.07</f>
        <v>50.290000000000006</v>
      </c>
    </row>
    <row r="454" spans="14:26" ht="13.5" thickBot="1" x14ac:dyDescent="0.25">
      <c r="O454" s="180">
        <v>0.01</v>
      </c>
      <c r="P454" s="207">
        <f>P452*1.09</f>
        <v>490.50000000000006</v>
      </c>
      <c r="Q454" s="208">
        <f>Q452*1.1</f>
        <v>349.8</v>
      </c>
      <c r="R454" s="208">
        <f>R452*1.11</f>
        <v>283.05</v>
      </c>
      <c r="S454" s="208">
        <f>S452*1.11</f>
        <v>240.87000000000003</v>
      </c>
      <c r="T454" s="208">
        <f>T452*1.11</f>
        <v>187.59</v>
      </c>
      <c r="U454" s="208">
        <f>U452*1.12</f>
        <v>156.80000000000001</v>
      </c>
      <c r="V454" s="208">
        <f>V452*1.12</f>
        <v>135.52000000000001</v>
      </c>
      <c r="W454" s="208">
        <f>W452*1.12</f>
        <v>119.84000000000002</v>
      </c>
      <c r="X454" s="208">
        <f>X452*1.13</f>
        <v>90.399999999999991</v>
      </c>
      <c r="Y454" s="208">
        <f>Y452*1.13</f>
        <v>73.449999999999989</v>
      </c>
      <c r="Z454" s="209">
        <f>Z452*1.14</f>
        <v>53.58</v>
      </c>
    </row>
    <row r="456" spans="14:26" ht="13.5" thickBot="1" x14ac:dyDescent="0.25">
      <c r="N456" s="173">
        <v>42</v>
      </c>
      <c r="O456" s="49" t="s">
        <v>157</v>
      </c>
      <c r="R456" s="197" t="s">
        <v>117</v>
      </c>
    </row>
    <row r="457" spans="14:26" ht="13.5" thickBot="1" x14ac:dyDescent="0.25">
      <c r="O457" s="174" t="s">
        <v>52</v>
      </c>
      <c r="P457" s="175">
        <v>5</v>
      </c>
      <c r="Q457" s="176">
        <v>10</v>
      </c>
      <c r="R457" s="176">
        <v>15</v>
      </c>
      <c r="S457" s="176">
        <v>20</v>
      </c>
      <c r="T457" s="176">
        <v>30</v>
      </c>
      <c r="U457" s="176">
        <v>40</v>
      </c>
      <c r="V457" s="176">
        <v>50</v>
      </c>
      <c r="W457" s="176">
        <v>60</v>
      </c>
      <c r="X457" s="176">
        <v>90</v>
      </c>
      <c r="Y457" s="176">
        <v>120</v>
      </c>
      <c r="Z457" s="177">
        <v>180</v>
      </c>
    </row>
    <row r="458" spans="14:26" x14ac:dyDescent="0.2">
      <c r="O458" s="198">
        <v>1</v>
      </c>
      <c r="P458" s="201">
        <v>228</v>
      </c>
      <c r="Q458" s="88">
        <v>148</v>
      </c>
      <c r="R458" s="88">
        <v>111</v>
      </c>
      <c r="S458" s="88">
        <v>89</v>
      </c>
      <c r="T458" s="88">
        <v>65</v>
      </c>
      <c r="U458" s="88">
        <v>52</v>
      </c>
      <c r="V458" s="88">
        <v>44</v>
      </c>
      <c r="W458" s="88">
        <v>38</v>
      </c>
      <c r="X458" s="88">
        <v>28</v>
      </c>
      <c r="Y458" s="88">
        <v>22</v>
      </c>
      <c r="Z458" s="179">
        <v>16</v>
      </c>
    </row>
    <row r="459" spans="14:26" x14ac:dyDescent="0.2">
      <c r="O459" s="178">
        <v>0.5</v>
      </c>
      <c r="P459" s="201">
        <v>270</v>
      </c>
      <c r="Q459" s="88">
        <v>178</v>
      </c>
      <c r="R459" s="88">
        <v>135</v>
      </c>
      <c r="S459" s="88">
        <v>109</v>
      </c>
      <c r="T459" s="88">
        <v>80</v>
      </c>
      <c r="U459" s="88">
        <v>64</v>
      </c>
      <c r="V459" s="88">
        <v>53</v>
      </c>
      <c r="W459" s="88">
        <v>46</v>
      </c>
      <c r="X459" s="88">
        <v>33</v>
      </c>
      <c r="Y459" s="88">
        <v>26</v>
      </c>
      <c r="Z459" s="179">
        <v>19</v>
      </c>
    </row>
    <row r="460" spans="14:26" x14ac:dyDescent="0.2">
      <c r="O460" s="178">
        <v>0.2</v>
      </c>
      <c r="P460" s="201">
        <v>328</v>
      </c>
      <c r="Q460" s="88">
        <v>218</v>
      </c>
      <c r="R460" s="88">
        <v>168</v>
      </c>
      <c r="S460" s="88">
        <v>138</v>
      </c>
      <c r="T460" s="88">
        <v>103</v>
      </c>
      <c r="U460" s="88">
        <v>83</v>
      </c>
      <c r="V460" s="88">
        <v>69</v>
      </c>
      <c r="W460" s="88">
        <v>59</v>
      </c>
      <c r="X460" s="88">
        <v>42</v>
      </c>
      <c r="Y460" s="88">
        <v>32</v>
      </c>
      <c r="Z460" s="179">
        <v>23</v>
      </c>
    </row>
    <row r="461" spans="14:26" x14ac:dyDescent="0.2">
      <c r="O461" s="178">
        <v>0.1</v>
      </c>
      <c r="P461" s="201">
        <v>370</v>
      </c>
      <c r="Q461" s="88">
        <v>253</v>
      </c>
      <c r="R461" s="88">
        <v>195</v>
      </c>
      <c r="S461" s="88">
        <v>160</v>
      </c>
      <c r="T461" s="88">
        <v>119</v>
      </c>
      <c r="U461" s="88">
        <v>95</v>
      </c>
      <c r="V461" s="88">
        <v>79</v>
      </c>
      <c r="W461" s="88">
        <v>68</v>
      </c>
      <c r="X461" s="88">
        <v>48</v>
      </c>
      <c r="Y461" s="88">
        <v>37</v>
      </c>
      <c r="Z461" s="179">
        <v>25</v>
      </c>
    </row>
    <row r="462" spans="14:26" x14ac:dyDescent="0.2">
      <c r="O462" s="178">
        <v>0.05</v>
      </c>
      <c r="P462" s="201">
        <v>418</v>
      </c>
      <c r="Q462" s="88">
        <v>288</v>
      </c>
      <c r="R462" s="88">
        <v>221</v>
      </c>
      <c r="S462" s="88">
        <v>181</v>
      </c>
      <c r="T462" s="88">
        <v>133</v>
      </c>
      <c r="U462" s="88">
        <v>106</v>
      </c>
      <c r="V462" s="88">
        <v>88</v>
      </c>
      <c r="W462" s="88">
        <v>75</v>
      </c>
      <c r="X462" s="88">
        <v>52</v>
      </c>
      <c r="Y462" s="88">
        <v>40</v>
      </c>
      <c r="Z462" s="179">
        <v>27</v>
      </c>
    </row>
    <row r="463" spans="14:26" x14ac:dyDescent="0.2">
      <c r="O463" s="178">
        <v>3.3000000000000002E-2</v>
      </c>
      <c r="P463" s="201">
        <v>434</v>
      </c>
      <c r="Q463" s="88">
        <v>300</v>
      </c>
      <c r="R463" s="88">
        <v>233</v>
      </c>
      <c r="S463" s="88">
        <v>190</v>
      </c>
      <c r="T463" s="88">
        <v>140</v>
      </c>
      <c r="U463" s="88">
        <v>112</v>
      </c>
      <c r="V463" s="88">
        <v>92</v>
      </c>
      <c r="W463" s="88">
        <v>80</v>
      </c>
      <c r="X463" s="88">
        <v>56</v>
      </c>
      <c r="Y463" s="88">
        <v>43</v>
      </c>
      <c r="Z463" s="179">
        <v>29</v>
      </c>
    </row>
    <row r="464" spans="14:26" ht="13.5" thickBot="1" x14ac:dyDescent="0.25">
      <c r="O464" s="180">
        <v>0.02</v>
      </c>
      <c r="P464" s="211">
        <v>443</v>
      </c>
      <c r="Q464" s="212">
        <v>312</v>
      </c>
      <c r="R464" s="212">
        <v>243</v>
      </c>
      <c r="S464" s="212">
        <v>198</v>
      </c>
      <c r="T464" s="212">
        <v>146</v>
      </c>
      <c r="U464" s="212">
        <v>117</v>
      </c>
      <c r="V464" s="212">
        <v>96</v>
      </c>
      <c r="W464" s="212">
        <v>83</v>
      </c>
      <c r="X464" s="212">
        <v>58</v>
      </c>
      <c r="Y464" s="212">
        <v>44</v>
      </c>
      <c r="Z464" s="213">
        <v>30</v>
      </c>
    </row>
    <row r="465" spans="14:26" ht="13.5" thickBot="1" x14ac:dyDescent="0.25">
      <c r="O465" s="180">
        <v>0.01</v>
      </c>
      <c r="P465" s="225">
        <f t="shared" ref="P465:V465" si="90">P464*1.05</f>
        <v>465.15000000000003</v>
      </c>
      <c r="Q465" s="217">
        <f t="shared" si="90"/>
        <v>327.60000000000002</v>
      </c>
      <c r="R465" s="217">
        <f t="shared" si="90"/>
        <v>255.15</v>
      </c>
      <c r="S465" s="217">
        <f t="shared" si="90"/>
        <v>207.9</v>
      </c>
      <c r="T465" s="217">
        <f t="shared" si="90"/>
        <v>153.30000000000001</v>
      </c>
      <c r="U465" s="217">
        <f t="shared" si="90"/>
        <v>122.85000000000001</v>
      </c>
      <c r="V465" s="217">
        <f t="shared" si="90"/>
        <v>100.80000000000001</v>
      </c>
      <c r="W465" s="217">
        <f>W464*1.06</f>
        <v>87.98</v>
      </c>
      <c r="X465" s="217">
        <f>X464*1.06</f>
        <v>61.480000000000004</v>
      </c>
      <c r="Y465" s="217">
        <f>Y464*1.06</f>
        <v>46.64</v>
      </c>
      <c r="Z465" s="224">
        <f>Z464*1.07</f>
        <v>32.1</v>
      </c>
    </row>
    <row r="467" spans="14:26" ht="13.5" thickBot="1" x14ac:dyDescent="0.25">
      <c r="N467" s="173">
        <v>43</v>
      </c>
      <c r="O467" s="49" t="s">
        <v>158</v>
      </c>
      <c r="R467" s="197" t="s">
        <v>117</v>
      </c>
    </row>
    <row r="468" spans="14:26" ht="13.5" thickBot="1" x14ac:dyDescent="0.25">
      <c r="O468" s="174" t="s">
        <v>52</v>
      </c>
      <c r="P468" s="175">
        <v>5</v>
      </c>
      <c r="Q468" s="176">
        <v>10</v>
      </c>
      <c r="R468" s="176">
        <v>15</v>
      </c>
      <c r="S468" s="176">
        <v>20</v>
      </c>
      <c r="T468" s="176">
        <v>30</v>
      </c>
      <c r="U468" s="176">
        <v>40</v>
      </c>
      <c r="V468" s="176">
        <v>50</v>
      </c>
      <c r="W468" s="176">
        <v>60</v>
      </c>
      <c r="X468" s="176">
        <v>90</v>
      </c>
      <c r="Y468" s="176">
        <v>120</v>
      </c>
      <c r="Z468" s="177">
        <v>180</v>
      </c>
    </row>
    <row r="469" spans="14:26" x14ac:dyDescent="0.2">
      <c r="O469" s="198">
        <v>1</v>
      </c>
      <c r="P469" s="201">
        <v>262</v>
      </c>
      <c r="Q469" s="88">
        <v>181</v>
      </c>
      <c r="R469" s="88">
        <v>140</v>
      </c>
      <c r="S469" s="88">
        <v>115</v>
      </c>
      <c r="T469" s="88">
        <v>85</v>
      </c>
      <c r="U469" s="88">
        <v>68</v>
      </c>
      <c r="V469" s="88">
        <v>56</v>
      </c>
      <c r="W469" s="88">
        <v>48</v>
      </c>
      <c r="X469" s="88">
        <v>34</v>
      </c>
      <c r="Y469" s="88">
        <v>26</v>
      </c>
      <c r="Z469" s="179">
        <v>18</v>
      </c>
    </row>
    <row r="470" spans="14:26" x14ac:dyDescent="0.2">
      <c r="O470" s="178">
        <v>0.5</v>
      </c>
      <c r="P470" s="201">
        <v>320</v>
      </c>
      <c r="Q470" s="88">
        <v>228</v>
      </c>
      <c r="R470" s="88">
        <v>177</v>
      </c>
      <c r="S470" s="88">
        <v>147</v>
      </c>
      <c r="T470" s="88">
        <v>109</v>
      </c>
      <c r="U470" s="88">
        <v>88</v>
      </c>
      <c r="V470" s="88">
        <v>73</v>
      </c>
      <c r="W470" s="88">
        <v>63</v>
      </c>
      <c r="X470" s="88">
        <v>44</v>
      </c>
      <c r="Y470" s="88">
        <v>34</v>
      </c>
      <c r="Z470" s="179">
        <v>23</v>
      </c>
    </row>
    <row r="471" spans="14:26" x14ac:dyDescent="0.2">
      <c r="O471" s="178">
        <v>0.2</v>
      </c>
      <c r="P471" s="201">
        <v>388</v>
      </c>
      <c r="Q471" s="88">
        <v>282</v>
      </c>
      <c r="R471" s="88">
        <v>225</v>
      </c>
      <c r="S471" s="88">
        <v>187</v>
      </c>
      <c r="T471" s="88">
        <v>142</v>
      </c>
      <c r="U471" s="88">
        <v>115</v>
      </c>
      <c r="V471" s="88">
        <v>96</v>
      </c>
      <c r="W471" s="88">
        <v>84</v>
      </c>
      <c r="X471" s="88">
        <v>60</v>
      </c>
      <c r="Y471" s="88">
        <v>47</v>
      </c>
      <c r="Z471" s="179">
        <v>33</v>
      </c>
    </row>
    <row r="472" spans="14:26" x14ac:dyDescent="0.2">
      <c r="O472" s="178">
        <v>0.1</v>
      </c>
      <c r="P472" s="201">
        <v>433</v>
      </c>
      <c r="Q472" s="88">
        <v>317</v>
      </c>
      <c r="R472" s="88">
        <v>256</v>
      </c>
      <c r="S472" s="88">
        <v>217</v>
      </c>
      <c r="T472" s="88">
        <v>167</v>
      </c>
      <c r="U472" s="88">
        <v>136</v>
      </c>
      <c r="V472" s="88">
        <v>116</v>
      </c>
      <c r="W472" s="88">
        <v>102</v>
      </c>
      <c r="X472" s="88">
        <v>75</v>
      </c>
      <c r="Y472" s="88">
        <v>60</v>
      </c>
      <c r="Z472" s="179">
        <v>42</v>
      </c>
    </row>
    <row r="473" spans="14:26" x14ac:dyDescent="0.2">
      <c r="O473" s="178">
        <v>0.05</v>
      </c>
      <c r="P473" s="201">
        <v>472</v>
      </c>
      <c r="Q473" s="88">
        <v>350</v>
      </c>
      <c r="R473" s="88">
        <v>285</v>
      </c>
      <c r="S473" s="88">
        <v>243</v>
      </c>
      <c r="T473" s="88">
        <v>190</v>
      </c>
      <c r="U473" s="88">
        <v>157</v>
      </c>
      <c r="V473" s="88">
        <v>135</v>
      </c>
      <c r="W473" s="88">
        <v>118</v>
      </c>
      <c r="X473" s="88">
        <v>88</v>
      </c>
      <c r="Y473" s="88">
        <v>71</v>
      </c>
      <c r="Z473" s="179">
        <v>51</v>
      </c>
    </row>
    <row r="474" spans="14:26" ht="13.5" thickBot="1" x14ac:dyDescent="0.25">
      <c r="O474" s="180">
        <v>3.3000000000000002E-2</v>
      </c>
      <c r="P474" s="211">
        <v>490</v>
      </c>
      <c r="Q474" s="212">
        <v>367</v>
      </c>
      <c r="R474" s="212">
        <v>300</v>
      </c>
      <c r="S474" s="212">
        <v>260</v>
      </c>
      <c r="T474" s="212">
        <v>205</v>
      </c>
      <c r="U474" s="212">
        <v>171</v>
      </c>
      <c r="V474" s="212">
        <v>147</v>
      </c>
      <c r="W474" s="212">
        <v>130</v>
      </c>
      <c r="X474" s="212">
        <v>96</v>
      </c>
      <c r="Y474" s="212">
        <v>79</v>
      </c>
      <c r="Z474" s="213">
        <v>57</v>
      </c>
    </row>
    <row r="475" spans="14:26" x14ac:dyDescent="0.2">
      <c r="O475" s="178">
        <v>0.02</v>
      </c>
      <c r="P475" s="204">
        <f>P474*1.04</f>
        <v>509.6</v>
      </c>
      <c r="Q475" s="205">
        <f>Q474*1.05</f>
        <v>385.35</v>
      </c>
      <c r="R475" s="205">
        <f t="shared" ref="R475:X475" si="91">R474*1.06</f>
        <v>318</v>
      </c>
      <c r="S475" s="205">
        <f t="shared" si="91"/>
        <v>275.60000000000002</v>
      </c>
      <c r="T475" s="205">
        <f t="shared" si="91"/>
        <v>217.3</v>
      </c>
      <c r="U475" s="205">
        <f t="shared" si="91"/>
        <v>181.26000000000002</v>
      </c>
      <c r="V475" s="205">
        <f t="shared" si="91"/>
        <v>155.82000000000002</v>
      </c>
      <c r="W475" s="205">
        <f t="shared" si="91"/>
        <v>137.80000000000001</v>
      </c>
      <c r="X475" s="205">
        <f t="shared" si="91"/>
        <v>101.76</v>
      </c>
      <c r="Y475" s="205">
        <f>Y474*1.07</f>
        <v>84.53</v>
      </c>
      <c r="Z475" s="206">
        <f>Z474*1.07</f>
        <v>60.99</v>
      </c>
    </row>
    <row r="476" spans="14:26" ht="13.5" thickBot="1" x14ac:dyDescent="0.25">
      <c r="O476" s="180">
        <v>0.01</v>
      </c>
      <c r="P476" s="207">
        <f>P474*1.09</f>
        <v>534.1</v>
      </c>
      <c r="Q476" s="208">
        <f>Q474*1.1</f>
        <v>403.70000000000005</v>
      </c>
      <c r="R476" s="208">
        <f>R474*1.11</f>
        <v>333.00000000000006</v>
      </c>
      <c r="S476" s="208">
        <f>S474*1.11</f>
        <v>288.60000000000002</v>
      </c>
      <c r="T476" s="208">
        <f>T474*1.11</f>
        <v>227.55</v>
      </c>
      <c r="U476" s="208">
        <f>U474*1.12</f>
        <v>191.52</v>
      </c>
      <c r="V476" s="208">
        <f>V474*1.12</f>
        <v>164.64000000000001</v>
      </c>
      <c r="W476" s="208">
        <f>W474*1.12</f>
        <v>145.60000000000002</v>
      </c>
      <c r="X476" s="208">
        <f>X474*1.13</f>
        <v>108.47999999999999</v>
      </c>
      <c r="Y476" s="208">
        <f>Y474*1.13</f>
        <v>89.27</v>
      </c>
      <c r="Z476" s="209">
        <f>Z474*1.14</f>
        <v>64.97999999999999</v>
      </c>
    </row>
    <row r="478" spans="14:26" ht="13.5" thickBot="1" x14ac:dyDescent="0.25">
      <c r="N478" s="173">
        <v>44</v>
      </c>
      <c r="O478" s="49" t="s">
        <v>159</v>
      </c>
      <c r="R478" s="197" t="s">
        <v>117</v>
      </c>
    </row>
    <row r="479" spans="14:26" ht="13.5" thickBot="1" x14ac:dyDescent="0.25">
      <c r="O479" s="174" t="s">
        <v>52</v>
      </c>
      <c r="P479" s="175">
        <v>5</v>
      </c>
      <c r="Q479" s="176">
        <v>10</v>
      </c>
      <c r="R479" s="176">
        <v>15</v>
      </c>
      <c r="S479" s="176">
        <v>20</v>
      </c>
      <c r="T479" s="176">
        <v>30</v>
      </c>
      <c r="U479" s="176">
        <v>40</v>
      </c>
      <c r="V479" s="176">
        <v>50</v>
      </c>
      <c r="W479" s="176">
        <v>60</v>
      </c>
      <c r="X479" s="176">
        <v>90</v>
      </c>
      <c r="Y479" s="176">
        <v>120</v>
      </c>
      <c r="Z479" s="177">
        <v>180</v>
      </c>
    </row>
    <row r="480" spans="14:26" x14ac:dyDescent="0.2">
      <c r="O480" s="198">
        <v>1</v>
      </c>
      <c r="P480" s="201">
        <v>253</v>
      </c>
      <c r="Q480" s="88">
        <v>168</v>
      </c>
      <c r="R480" s="88">
        <v>132</v>
      </c>
      <c r="S480" s="88">
        <v>108</v>
      </c>
      <c r="T480" s="88">
        <v>82</v>
      </c>
      <c r="U480" s="88">
        <v>67</v>
      </c>
      <c r="V480" s="88">
        <v>57</v>
      </c>
      <c r="W480" s="88">
        <v>49</v>
      </c>
      <c r="X480" s="88">
        <v>36</v>
      </c>
      <c r="Y480" s="88">
        <v>28</v>
      </c>
      <c r="Z480" s="179">
        <v>20</v>
      </c>
    </row>
    <row r="481" spans="14:26" x14ac:dyDescent="0.2">
      <c r="O481" s="178">
        <v>0.5</v>
      </c>
      <c r="P481" s="201">
        <v>300</v>
      </c>
      <c r="Q481" s="88">
        <v>201</v>
      </c>
      <c r="R481" s="88">
        <v>158</v>
      </c>
      <c r="S481" s="88">
        <v>131</v>
      </c>
      <c r="T481" s="88">
        <v>100</v>
      </c>
      <c r="U481" s="88">
        <v>82</v>
      </c>
      <c r="V481" s="88">
        <v>70</v>
      </c>
      <c r="W481" s="88">
        <v>61</v>
      </c>
      <c r="X481" s="88">
        <v>44</v>
      </c>
      <c r="Y481" s="88">
        <v>35</v>
      </c>
      <c r="Z481" s="179">
        <v>25</v>
      </c>
    </row>
    <row r="482" spans="14:26" x14ac:dyDescent="0.2">
      <c r="O482" s="178">
        <v>0.2</v>
      </c>
      <c r="P482" s="201">
        <v>359</v>
      </c>
      <c r="Q482" s="88">
        <v>244</v>
      </c>
      <c r="R482" s="88">
        <v>192</v>
      </c>
      <c r="S482" s="88">
        <v>160</v>
      </c>
      <c r="T482" s="88">
        <v>122</v>
      </c>
      <c r="U482" s="88">
        <v>100</v>
      </c>
      <c r="V482" s="88">
        <v>85</v>
      </c>
      <c r="W482" s="88">
        <v>75</v>
      </c>
      <c r="X482" s="88">
        <v>55</v>
      </c>
      <c r="Y482" s="88">
        <v>44</v>
      </c>
      <c r="Z482" s="179">
        <v>31</v>
      </c>
    </row>
    <row r="483" spans="14:26" x14ac:dyDescent="0.2">
      <c r="O483" s="178">
        <v>0.1</v>
      </c>
      <c r="P483" s="201">
        <v>399</v>
      </c>
      <c r="Q483" s="88">
        <v>271</v>
      </c>
      <c r="R483" s="88">
        <v>213</v>
      </c>
      <c r="S483" s="88">
        <v>178</v>
      </c>
      <c r="T483" s="88">
        <v>136</v>
      </c>
      <c r="U483" s="88">
        <v>112</v>
      </c>
      <c r="V483" s="88">
        <v>95</v>
      </c>
      <c r="W483" s="88">
        <v>83</v>
      </c>
      <c r="X483" s="88">
        <v>61</v>
      </c>
      <c r="Y483" s="88">
        <v>49</v>
      </c>
      <c r="Z483" s="179">
        <v>35</v>
      </c>
    </row>
    <row r="484" spans="14:26" x14ac:dyDescent="0.2">
      <c r="O484" s="178">
        <v>0.05</v>
      </c>
      <c r="P484" s="201">
        <v>437</v>
      </c>
      <c r="Q484" s="88">
        <v>298</v>
      </c>
      <c r="R484" s="88">
        <v>234</v>
      </c>
      <c r="S484" s="88">
        <v>194</v>
      </c>
      <c r="T484" s="88">
        <v>148</v>
      </c>
      <c r="U484" s="88">
        <v>121</v>
      </c>
      <c r="V484" s="88">
        <v>103</v>
      </c>
      <c r="W484" s="88">
        <v>90</v>
      </c>
      <c r="X484" s="88">
        <v>66</v>
      </c>
      <c r="Y484" s="88">
        <v>52</v>
      </c>
      <c r="Z484" s="179">
        <v>37</v>
      </c>
    </row>
    <row r="485" spans="14:26" ht="13.5" thickBot="1" x14ac:dyDescent="0.25">
      <c r="O485" s="180">
        <v>3.3000000000000002E-2</v>
      </c>
      <c r="P485" s="211">
        <v>472</v>
      </c>
      <c r="Q485" s="212">
        <v>320</v>
      </c>
      <c r="R485" s="212">
        <v>250</v>
      </c>
      <c r="S485" s="212">
        <v>209</v>
      </c>
      <c r="T485" s="212">
        <v>160</v>
      </c>
      <c r="U485" s="212">
        <v>130</v>
      </c>
      <c r="V485" s="212">
        <v>110</v>
      </c>
      <c r="W485" s="212">
        <v>96</v>
      </c>
      <c r="X485" s="212">
        <v>70</v>
      </c>
      <c r="Y485" s="212">
        <v>55</v>
      </c>
      <c r="Z485" s="213">
        <v>39</v>
      </c>
    </row>
    <row r="486" spans="14:26" x14ac:dyDescent="0.2">
      <c r="O486" s="178">
        <v>0.02</v>
      </c>
      <c r="P486" s="204">
        <f>P485*1.04</f>
        <v>490.88</v>
      </c>
      <c r="Q486" s="205">
        <f>Q485*1.05</f>
        <v>336</v>
      </c>
      <c r="R486" s="205">
        <f t="shared" ref="R486:X486" si="92">R485*1.06</f>
        <v>265</v>
      </c>
      <c r="S486" s="205">
        <f t="shared" si="92"/>
        <v>221.54000000000002</v>
      </c>
      <c r="T486" s="205">
        <f t="shared" si="92"/>
        <v>169.60000000000002</v>
      </c>
      <c r="U486" s="205">
        <f t="shared" si="92"/>
        <v>137.80000000000001</v>
      </c>
      <c r="V486" s="205">
        <f t="shared" si="92"/>
        <v>116.60000000000001</v>
      </c>
      <c r="W486" s="205">
        <f t="shared" si="92"/>
        <v>101.76</v>
      </c>
      <c r="X486" s="205">
        <f t="shared" si="92"/>
        <v>74.2</v>
      </c>
      <c r="Y486" s="205">
        <f>Y485*1.07</f>
        <v>58.85</v>
      </c>
      <c r="Z486" s="206">
        <f>Z485*1.07</f>
        <v>41.730000000000004</v>
      </c>
    </row>
    <row r="487" spans="14:26" ht="13.5" thickBot="1" x14ac:dyDescent="0.25">
      <c r="O487" s="180">
        <v>0.01</v>
      </c>
      <c r="P487" s="207">
        <f>P485*1.09</f>
        <v>514.48</v>
      </c>
      <c r="Q487" s="208">
        <f>Q485*1.1</f>
        <v>352</v>
      </c>
      <c r="R487" s="208">
        <f>R485*1.11</f>
        <v>277.5</v>
      </c>
      <c r="S487" s="208">
        <f>S485*1.11</f>
        <v>231.99</v>
      </c>
      <c r="T487" s="208">
        <f>T485*1.11</f>
        <v>177.60000000000002</v>
      </c>
      <c r="U487" s="208">
        <f>U485*1.12</f>
        <v>145.60000000000002</v>
      </c>
      <c r="V487" s="208">
        <f>V485*1.12</f>
        <v>123.20000000000002</v>
      </c>
      <c r="W487" s="208">
        <f>W485*1.12</f>
        <v>107.52000000000001</v>
      </c>
      <c r="X487" s="208">
        <f>X485*1.13</f>
        <v>79.099999999999994</v>
      </c>
      <c r="Y487" s="208">
        <f>Y485*1.13</f>
        <v>62.149999999999991</v>
      </c>
      <c r="Z487" s="209">
        <f>Z485*1.14</f>
        <v>44.459999999999994</v>
      </c>
    </row>
    <row r="489" spans="14:26" ht="13.5" thickBot="1" x14ac:dyDescent="0.25">
      <c r="N489" s="173">
        <v>45</v>
      </c>
      <c r="O489" s="49" t="s">
        <v>160</v>
      </c>
      <c r="R489" s="197" t="s">
        <v>117</v>
      </c>
    </row>
    <row r="490" spans="14:26" ht="13.5" thickBot="1" x14ac:dyDescent="0.25">
      <c r="O490" s="174" t="s">
        <v>52</v>
      </c>
      <c r="P490" s="175">
        <v>5</v>
      </c>
      <c r="Q490" s="176">
        <v>10</v>
      </c>
      <c r="R490" s="176">
        <v>15</v>
      </c>
      <c r="S490" s="176">
        <v>20</v>
      </c>
      <c r="T490" s="176">
        <v>30</v>
      </c>
      <c r="U490" s="176">
        <v>40</v>
      </c>
      <c r="V490" s="176">
        <v>50</v>
      </c>
      <c r="W490" s="176">
        <v>60</v>
      </c>
      <c r="X490" s="176">
        <v>90</v>
      </c>
      <c r="Y490" s="176">
        <v>120</v>
      </c>
      <c r="Z490" s="177">
        <v>180</v>
      </c>
    </row>
    <row r="491" spans="14:26" x14ac:dyDescent="0.2">
      <c r="O491" s="198">
        <v>1</v>
      </c>
      <c r="P491" s="201">
        <v>195</v>
      </c>
      <c r="Q491" s="88">
        <v>138</v>
      </c>
      <c r="R491" s="88">
        <v>108</v>
      </c>
      <c r="S491" s="88">
        <v>90</v>
      </c>
      <c r="T491" s="88">
        <v>68</v>
      </c>
      <c r="U491" s="88">
        <v>55</v>
      </c>
      <c r="V491" s="88">
        <v>46</v>
      </c>
      <c r="W491" s="88">
        <v>40</v>
      </c>
      <c r="X491" s="88">
        <v>29</v>
      </c>
      <c r="Y491" s="88">
        <v>22</v>
      </c>
      <c r="Z491" s="179">
        <v>15</v>
      </c>
    </row>
    <row r="492" spans="14:26" x14ac:dyDescent="0.2">
      <c r="O492" s="178">
        <v>0.5</v>
      </c>
      <c r="P492" s="201">
        <v>225</v>
      </c>
      <c r="Q492" s="88">
        <v>162</v>
      </c>
      <c r="R492" s="88">
        <v>131</v>
      </c>
      <c r="S492" s="88">
        <v>112</v>
      </c>
      <c r="T492" s="88">
        <v>85</v>
      </c>
      <c r="U492" s="88">
        <v>68</v>
      </c>
      <c r="V492" s="88">
        <v>57</v>
      </c>
      <c r="W492" s="88">
        <v>50</v>
      </c>
      <c r="X492" s="88">
        <v>35</v>
      </c>
      <c r="Y492" s="88">
        <v>27</v>
      </c>
      <c r="Z492" s="179">
        <v>19</v>
      </c>
    </row>
    <row r="493" spans="14:26" x14ac:dyDescent="0.2">
      <c r="O493" s="178">
        <v>0.2</v>
      </c>
      <c r="P493" s="201">
        <v>268</v>
      </c>
      <c r="Q493" s="88">
        <v>199</v>
      </c>
      <c r="R493" s="88">
        <v>164</v>
      </c>
      <c r="S493" s="88">
        <v>140</v>
      </c>
      <c r="T493" s="88">
        <v>108</v>
      </c>
      <c r="U493" s="88">
        <v>86</v>
      </c>
      <c r="V493" s="88">
        <v>73</v>
      </c>
      <c r="W493" s="88">
        <v>63</v>
      </c>
      <c r="X493" s="88">
        <v>45</v>
      </c>
      <c r="Y493" s="88">
        <v>35</v>
      </c>
      <c r="Z493" s="179">
        <v>24</v>
      </c>
    </row>
    <row r="494" spans="14:26" x14ac:dyDescent="0.2">
      <c r="O494" s="178">
        <v>0.1</v>
      </c>
      <c r="P494" s="201">
        <v>310</v>
      </c>
      <c r="Q494" s="88">
        <v>229</v>
      </c>
      <c r="R494" s="88">
        <v>189</v>
      </c>
      <c r="S494" s="88">
        <v>162</v>
      </c>
      <c r="T494" s="88">
        <v>126</v>
      </c>
      <c r="U494" s="88">
        <v>102</v>
      </c>
      <c r="V494" s="88">
        <v>85</v>
      </c>
      <c r="W494" s="88">
        <v>74</v>
      </c>
      <c r="X494" s="88">
        <v>52</v>
      </c>
      <c r="Y494" s="88">
        <v>40</v>
      </c>
      <c r="Z494" s="179">
        <v>28</v>
      </c>
    </row>
    <row r="495" spans="14:26" x14ac:dyDescent="0.2">
      <c r="O495" s="178">
        <v>0.05</v>
      </c>
      <c r="P495" s="201">
        <v>348</v>
      </c>
      <c r="Q495" s="88">
        <v>260</v>
      </c>
      <c r="R495" s="88">
        <v>214</v>
      </c>
      <c r="S495" s="88">
        <v>182</v>
      </c>
      <c r="T495" s="88">
        <v>142</v>
      </c>
      <c r="U495" s="88">
        <v>116</v>
      </c>
      <c r="V495" s="88">
        <v>98</v>
      </c>
      <c r="W495" s="88">
        <v>86</v>
      </c>
      <c r="X495" s="88">
        <v>61</v>
      </c>
      <c r="Y495" s="88">
        <v>47</v>
      </c>
      <c r="Z495" s="179">
        <v>32</v>
      </c>
    </row>
    <row r="496" spans="14:26" ht="13.5" thickBot="1" x14ac:dyDescent="0.25">
      <c r="O496" s="180">
        <v>3.3000000000000002E-2</v>
      </c>
      <c r="P496" s="211">
        <v>391</v>
      </c>
      <c r="Q496" s="212">
        <v>289</v>
      </c>
      <c r="R496" s="212">
        <v>231</v>
      </c>
      <c r="S496" s="212">
        <v>194</v>
      </c>
      <c r="T496" s="212">
        <v>150</v>
      </c>
      <c r="U496" s="212">
        <v>122</v>
      </c>
      <c r="V496" s="212">
        <v>104</v>
      </c>
      <c r="W496" s="212">
        <v>90</v>
      </c>
      <c r="X496" s="212">
        <v>66</v>
      </c>
      <c r="Y496" s="212">
        <v>52</v>
      </c>
      <c r="Z496" s="213">
        <v>37</v>
      </c>
    </row>
    <row r="497" spans="14:26" x14ac:dyDescent="0.2">
      <c r="O497" s="178">
        <v>0.02</v>
      </c>
      <c r="P497" s="204">
        <f>P496*1.04</f>
        <v>406.64</v>
      </c>
      <c r="Q497" s="205">
        <f>Q496*1.05</f>
        <v>303.45</v>
      </c>
      <c r="R497" s="205">
        <f t="shared" ref="R497:X497" si="93">R496*1.06</f>
        <v>244.86</v>
      </c>
      <c r="S497" s="205">
        <f t="shared" si="93"/>
        <v>205.64000000000001</v>
      </c>
      <c r="T497" s="205">
        <f t="shared" si="93"/>
        <v>159</v>
      </c>
      <c r="U497" s="205">
        <f t="shared" si="93"/>
        <v>129.32</v>
      </c>
      <c r="V497" s="205">
        <f t="shared" si="93"/>
        <v>110.24000000000001</v>
      </c>
      <c r="W497" s="205">
        <f t="shared" si="93"/>
        <v>95.4</v>
      </c>
      <c r="X497" s="205">
        <f t="shared" si="93"/>
        <v>69.960000000000008</v>
      </c>
      <c r="Y497" s="205">
        <f>Y496*1.07</f>
        <v>55.64</v>
      </c>
      <c r="Z497" s="206">
        <f>Z496*1.07</f>
        <v>39.590000000000003</v>
      </c>
    </row>
    <row r="498" spans="14:26" ht="13.5" thickBot="1" x14ac:dyDescent="0.25">
      <c r="O498" s="180">
        <v>0.01</v>
      </c>
      <c r="P498" s="207">
        <f>P496*1.09</f>
        <v>426.19000000000005</v>
      </c>
      <c r="Q498" s="208">
        <f>Q496*1.1</f>
        <v>317.90000000000003</v>
      </c>
      <c r="R498" s="208">
        <f>R496*1.11</f>
        <v>256.41000000000003</v>
      </c>
      <c r="S498" s="208">
        <f>S496*1.11</f>
        <v>215.34000000000003</v>
      </c>
      <c r="T498" s="208">
        <f>T496*1.11</f>
        <v>166.50000000000003</v>
      </c>
      <c r="U498" s="208">
        <f>U496*1.12</f>
        <v>136.64000000000001</v>
      </c>
      <c r="V498" s="208">
        <f>V496*1.12</f>
        <v>116.48000000000002</v>
      </c>
      <c r="W498" s="208">
        <f>W496*1.12</f>
        <v>100.80000000000001</v>
      </c>
      <c r="X498" s="208">
        <f>X496*1.13</f>
        <v>74.58</v>
      </c>
      <c r="Y498" s="208">
        <f>Y496*1.13</f>
        <v>58.759999999999991</v>
      </c>
      <c r="Z498" s="209">
        <f>Z496*1.14</f>
        <v>42.18</v>
      </c>
    </row>
    <row r="500" spans="14:26" ht="13.5" thickBot="1" x14ac:dyDescent="0.25">
      <c r="N500" s="173">
        <v>46</v>
      </c>
      <c r="O500" s="49" t="s">
        <v>161</v>
      </c>
      <c r="R500" s="197" t="s">
        <v>117</v>
      </c>
    </row>
    <row r="501" spans="14:26" ht="13.5" thickBot="1" x14ac:dyDescent="0.25">
      <c r="O501" s="174" t="s">
        <v>52</v>
      </c>
      <c r="P501" s="175">
        <v>5</v>
      </c>
      <c r="Q501" s="176">
        <v>10</v>
      </c>
      <c r="R501" s="176">
        <v>15</v>
      </c>
      <c r="S501" s="176">
        <v>20</v>
      </c>
      <c r="T501" s="176">
        <v>30</v>
      </c>
      <c r="U501" s="176">
        <v>40</v>
      </c>
      <c r="V501" s="176">
        <v>50</v>
      </c>
      <c r="W501" s="176">
        <v>60</v>
      </c>
      <c r="X501" s="176">
        <v>90</v>
      </c>
      <c r="Y501" s="176">
        <v>120</v>
      </c>
      <c r="Z501" s="177">
        <v>180</v>
      </c>
    </row>
    <row r="502" spans="14:26" x14ac:dyDescent="0.2">
      <c r="O502" s="198">
        <v>1</v>
      </c>
      <c r="P502" s="201">
        <v>230</v>
      </c>
      <c r="Q502" s="88">
        <v>162</v>
      </c>
      <c r="R502" s="88">
        <v>129</v>
      </c>
      <c r="S502" s="88">
        <v>108</v>
      </c>
      <c r="T502" s="88">
        <v>81</v>
      </c>
      <c r="U502" s="88">
        <v>64</v>
      </c>
      <c r="V502" s="88">
        <v>54</v>
      </c>
      <c r="W502" s="88">
        <v>46</v>
      </c>
      <c r="X502" s="88">
        <v>33</v>
      </c>
      <c r="Y502" s="88">
        <v>26</v>
      </c>
      <c r="Z502" s="179">
        <v>18</v>
      </c>
    </row>
    <row r="503" spans="14:26" x14ac:dyDescent="0.2">
      <c r="O503" s="178">
        <v>0.5</v>
      </c>
      <c r="P503" s="201">
        <v>268</v>
      </c>
      <c r="Q503" s="88">
        <v>193</v>
      </c>
      <c r="R503" s="88">
        <v>157</v>
      </c>
      <c r="S503" s="88">
        <v>134</v>
      </c>
      <c r="T503" s="88">
        <v>102</v>
      </c>
      <c r="U503" s="88">
        <v>83</v>
      </c>
      <c r="V503" s="88">
        <v>70</v>
      </c>
      <c r="W503" s="88">
        <v>60</v>
      </c>
      <c r="X503" s="88">
        <v>42</v>
      </c>
      <c r="Y503" s="88">
        <v>33</v>
      </c>
      <c r="Z503" s="179">
        <v>22</v>
      </c>
    </row>
    <row r="504" spans="14:26" x14ac:dyDescent="0.2">
      <c r="O504" s="178">
        <v>0.2</v>
      </c>
      <c r="P504" s="201">
        <v>320</v>
      </c>
      <c r="Q504" s="88">
        <v>238</v>
      </c>
      <c r="R504" s="88">
        <v>193</v>
      </c>
      <c r="S504" s="88">
        <v>164</v>
      </c>
      <c r="T504" s="88">
        <v>130</v>
      </c>
      <c r="U504" s="88">
        <v>108</v>
      </c>
      <c r="V504" s="88">
        <v>91</v>
      </c>
      <c r="W504" s="88">
        <v>79</v>
      </c>
      <c r="X504" s="88">
        <v>56</v>
      </c>
      <c r="Y504" s="88">
        <v>44</v>
      </c>
      <c r="Z504" s="179">
        <v>31</v>
      </c>
    </row>
    <row r="505" spans="14:26" x14ac:dyDescent="0.2">
      <c r="O505" s="178">
        <v>0.1</v>
      </c>
      <c r="P505" s="201">
        <v>372</v>
      </c>
      <c r="Q505" s="88">
        <v>270</v>
      </c>
      <c r="R505" s="88">
        <v>220</v>
      </c>
      <c r="S505" s="88">
        <v>188</v>
      </c>
      <c r="T505" s="88">
        <v>150</v>
      </c>
      <c r="U505" s="88">
        <v>123</v>
      </c>
      <c r="V505" s="88">
        <v>104</v>
      </c>
      <c r="W505" s="88">
        <v>90</v>
      </c>
      <c r="X505" s="88">
        <v>66</v>
      </c>
      <c r="Y505" s="88">
        <v>52</v>
      </c>
      <c r="Z505" s="179">
        <v>37</v>
      </c>
    </row>
    <row r="506" spans="14:26" x14ac:dyDescent="0.2">
      <c r="O506" s="178">
        <v>0.05</v>
      </c>
      <c r="P506" s="201">
        <v>420</v>
      </c>
      <c r="Q506" s="88">
        <v>302</v>
      </c>
      <c r="R506" s="88">
        <v>245</v>
      </c>
      <c r="S506" s="88">
        <v>207</v>
      </c>
      <c r="T506" s="88">
        <v>162</v>
      </c>
      <c r="U506" s="88">
        <v>133</v>
      </c>
      <c r="V506" s="88">
        <v>113</v>
      </c>
      <c r="W506" s="88">
        <v>99</v>
      </c>
      <c r="X506" s="88">
        <v>73</v>
      </c>
      <c r="Y506" s="88">
        <v>59</v>
      </c>
      <c r="Z506" s="179">
        <v>43</v>
      </c>
    </row>
    <row r="507" spans="14:26" x14ac:dyDescent="0.2">
      <c r="O507" s="178">
        <v>3.3000000000000002E-2</v>
      </c>
      <c r="P507" s="201">
        <v>468</v>
      </c>
      <c r="Q507" s="88">
        <v>331</v>
      </c>
      <c r="R507" s="88">
        <v>262</v>
      </c>
      <c r="S507" s="88">
        <v>220</v>
      </c>
      <c r="T507" s="88">
        <v>171</v>
      </c>
      <c r="U507" s="88">
        <v>141</v>
      </c>
      <c r="V507" s="88">
        <v>120</v>
      </c>
      <c r="W507" s="88">
        <v>106</v>
      </c>
      <c r="X507" s="88">
        <v>78</v>
      </c>
      <c r="Y507" s="88">
        <v>63</v>
      </c>
      <c r="Z507" s="179">
        <v>47</v>
      </c>
    </row>
    <row r="508" spans="14:26" x14ac:dyDescent="0.2">
      <c r="O508" s="178">
        <v>0.02</v>
      </c>
      <c r="P508" s="201">
        <v>500</v>
      </c>
      <c r="Q508" s="88">
        <v>350</v>
      </c>
      <c r="R508" s="88">
        <v>280</v>
      </c>
      <c r="S508" s="88">
        <v>235</v>
      </c>
      <c r="T508" s="88">
        <v>182</v>
      </c>
      <c r="U508" s="88">
        <v>149</v>
      </c>
      <c r="V508" s="88">
        <v>128</v>
      </c>
      <c r="W508" s="88">
        <v>112</v>
      </c>
      <c r="X508" s="88">
        <v>82</v>
      </c>
      <c r="Y508" s="88">
        <v>67</v>
      </c>
      <c r="Z508" s="179">
        <v>50</v>
      </c>
    </row>
    <row r="509" spans="14:26" ht="13.5" thickBot="1" x14ac:dyDescent="0.25">
      <c r="O509" s="180">
        <v>0.01</v>
      </c>
      <c r="P509" s="220">
        <v>532</v>
      </c>
      <c r="Q509" s="221">
        <v>374</v>
      </c>
      <c r="R509" s="221">
        <v>298</v>
      </c>
      <c r="S509" s="221">
        <v>250</v>
      </c>
      <c r="T509" s="221">
        <v>193</v>
      </c>
      <c r="U509" s="221">
        <v>158</v>
      </c>
      <c r="V509" s="221">
        <v>135</v>
      </c>
      <c r="W509" s="221">
        <v>118</v>
      </c>
      <c r="X509" s="221">
        <v>87</v>
      </c>
      <c r="Y509" s="221">
        <v>71</v>
      </c>
      <c r="Z509" s="222">
        <v>53</v>
      </c>
    </row>
    <row r="511" spans="14:26" ht="13.5" thickBot="1" x14ac:dyDescent="0.25">
      <c r="N511" s="173">
        <v>47</v>
      </c>
      <c r="O511" s="49" t="s">
        <v>162</v>
      </c>
      <c r="R511" s="197" t="s">
        <v>117</v>
      </c>
    </row>
    <row r="512" spans="14:26" ht="13.5" thickBot="1" x14ac:dyDescent="0.25">
      <c r="O512" s="174" t="s">
        <v>52</v>
      </c>
      <c r="P512" s="175">
        <v>5</v>
      </c>
      <c r="Q512" s="176">
        <v>10</v>
      </c>
      <c r="R512" s="176">
        <v>15</v>
      </c>
      <c r="S512" s="176">
        <v>20</v>
      </c>
      <c r="T512" s="176">
        <v>30</v>
      </c>
      <c r="U512" s="176">
        <v>40</v>
      </c>
      <c r="V512" s="176">
        <v>50</v>
      </c>
      <c r="W512" s="176">
        <v>60</v>
      </c>
      <c r="X512" s="176">
        <v>90</v>
      </c>
      <c r="Y512" s="176">
        <v>120</v>
      </c>
      <c r="Z512" s="177">
        <v>180</v>
      </c>
    </row>
    <row r="513" spans="14:26" x14ac:dyDescent="0.2">
      <c r="O513" s="198">
        <v>1</v>
      </c>
      <c r="P513" s="201">
        <v>249</v>
      </c>
      <c r="Q513" s="88">
        <v>168</v>
      </c>
      <c r="R513" s="88">
        <v>131</v>
      </c>
      <c r="S513" s="88">
        <v>108</v>
      </c>
      <c r="T513" s="88">
        <v>82</v>
      </c>
      <c r="U513" s="88">
        <v>66</v>
      </c>
      <c r="V513" s="88">
        <v>56</v>
      </c>
      <c r="W513" s="88">
        <v>48</v>
      </c>
      <c r="X513" s="88">
        <v>35</v>
      </c>
      <c r="Y513" s="88">
        <v>27</v>
      </c>
      <c r="Z513" s="179">
        <v>19</v>
      </c>
    </row>
    <row r="514" spans="14:26" x14ac:dyDescent="0.2">
      <c r="O514" s="178">
        <v>0.5</v>
      </c>
      <c r="P514" s="201">
        <v>300</v>
      </c>
      <c r="Q514" s="88">
        <v>203</v>
      </c>
      <c r="R514" s="88">
        <v>158</v>
      </c>
      <c r="S514" s="88">
        <v>131</v>
      </c>
      <c r="T514" s="88">
        <v>100</v>
      </c>
      <c r="U514" s="88">
        <v>82</v>
      </c>
      <c r="V514" s="88">
        <v>70</v>
      </c>
      <c r="W514" s="88">
        <v>60</v>
      </c>
      <c r="X514" s="88">
        <v>43</v>
      </c>
      <c r="Y514" s="88">
        <v>34</v>
      </c>
      <c r="Z514" s="179">
        <v>23</v>
      </c>
    </row>
    <row r="515" spans="14:26" x14ac:dyDescent="0.2">
      <c r="O515" s="178">
        <v>0.2</v>
      </c>
      <c r="P515" s="201">
        <v>365</v>
      </c>
      <c r="Q515" s="88">
        <v>250</v>
      </c>
      <c r="R515" s="88">
        <v>195</v>
      </c>
      <c r="S515" s="88">
        <v>163</v>
      </c>
      <c r="T515" s="88">
        <v>126</v>
      </c>
      <c r="U515" s="88">
        <v>102</v>
      </c>
      <c r="V515" s="88">
        <v>87</v>
      </c>
      <c r="W515" s="88">
        <v>76</v>
      </c>
      <c r="X515" s="88">
        <v>56</v>
      </c>
      <c r="Y515" s="88">
        <v>44</v>
      </c>
      <c r="Z515" s="179">
        <v>32</v>
      </c>
    </row>
    <row r="516" spans="14:26" x14ac:dyDescent="0.2">
      <c r="O516" s="178">
        <v>0.1</v>
      </c>
      <c r="P516" s="201">
        <v>409</v>
      </c>
      <c r="Q516" s="88">
        <v>285</v>
      </c>
      <c r="R516" s="88">
        <v>225</v>
      </c>
      <c r="S516" s="88">
        <v>188</v>
      </c>
      <c r="T516" s="88">
        <v>146</v>
      </c>
      <c r="U516" s="88">
        <v>119</v>
      </c>
      <c r="V516" s="88">
        <v>102</v>
      </c>
      <c r="W516" s="88">
        <v>89</v>
      </c>
      <c r="X516" s="88">
        <v>66</v>
      </c>
      <c r="Y516" s="88">
        <v>52</v>
      </c>
      <c r="Z516" s="179">
        <v>38</v>
      </c>
    </row>
    <row r="517" spans="14:26" x14ac:dyDescent="0.2">
      <c r="O517" s="178">
        <v>0.05</v>
      </c>
      <c r="P517" s="201">
        <v>453</v>
      </c>
      <c r="Q517" s="88">
        <v>319</v>
      </c>
      <c r="R517" s="88">
        <v>254</v>
      </c>
      <c r="S517" s="88">
        <v>215</v>
      </c>
      <c r="T517" s="88">
        <v>166</v>
      </c>
      <c r="U517" s="88">
        <v>138</v>
      </c>
      <c r="V517" s="88">
        <v>117</v>
      </c>
      <c r="W517" s="88">
        <v>102</v>
      </c>
      <c r="X517" s="88">
        <v>76</v>
      </c>
      <c r="Y517" s="88">
        <v>61</v>
      </c>
      <c r="Z517" s="179">
        <v>44</v>
      </c>
    </row>
    <row r="518" spans="14:26" ht="13.5" thickBot="1" x14ac:dyDescent="0.25">
      <c r="O518" s="180">
        <v>3.3000000000000002E-2</v>
      </c>
      <c r="P518" s="211">
        <v>482</v>
      </c>
      <c r="Q518" s="212">
        <v>345</v>
      </c>
      <c r="R518" s="212">
        <v>275</v>
      </c>
      <c r="S518" s="212">
        <v>231</v>
      </c>
      <c r="T518" s="212">
        <v>180</v>
      </c>
      <c r="U518" s="212">
        <v>148</v>
      </c>
      <c r="V518" s="212">
        <v>116</v>
      </c>
      <c r="W518" s="212">
        <v>111</v>
      </c>
      <c r="X518" s="212">
        <v>82</v>
      </c>
      <c r="Y518" s="212">
        <v>66</v>
      </c>
      <c r="Z518" s="213">
        <v>48</v>
      </c>
    </row>
    <row r="519" spans="14:26" x14ac:dyDescent="0.2">
      <c r="O519" s="178">
        <v>0.02</v>
      </c>
      <c r="P519" s="204">
        <f>P518*1.04</f>
        <v>501.28000000000003</v>
      </c>
      <c r="Q519" s="205">
        <f>Q518*1.05</f>
        <v>362.25</v>
      </c>
      <c r="R519" s="205">
        <f t="shared" ref="R519:X519" si="94">R518*1.06</f>
        <v>291.5</v>
      </c>
      <c r="S519" s="205">
        <f t="shared" si="94"/>
        <v>244.86</v>
      </c>
      <c r="T519" s="205">
        <f t="shared" si="94"/>
        <v>190.8</v>
      </c>
      <c r="U519" s="205">
        <f t="shared" si="94"/>
        <v>156.88</v>
      </c>
      <c r="V519" s="205">
        <f t="shared" si="94"/>
        <v>122.96000000000001</v>
      </c>
      <c r="W519" s="205">
        <f t="shared" si="94"/>
        <v>117.66000000000001</v>
      </c>
      <c r="X519" s="205">
        <f t="shared" si="94"/>
        <v>86.92</v>
      </c>
      <c r="Y519" s="205">
        <f>Y518*1.07</f>
        <v>70.62</v>
      </c>
      <c r="Z519" s="206">
        <f>Z518*1.07</f>
        <v>51.36</v>
      </c>
    </row>
    <row r="520" spans="14:26" ht="13.5" thickBot="1" x14ac:dyDescent="0.25">
      <c r="O520" s="180">
        <v>0.01</v>
      </c>
      <c r="P520" s="207">
        <f>P518*1.09</f>
        <v>525.38</v>
      </c>
      <c r="Q520" s="208">
        <f>Q518*1.1</f>
        <v>379.50000000000006</v>
      </c>
      <c r="R520" s="208">
        <f>R518*1.11</f>
        <v>305.25</v>
      </c>
      <c r="S520" s="208">
        <f>S518*1.11</f>
        <v>256.41000000000003</v>
      </c>
      <c r="T520" s="208">
        <f>T518*1.11</f>
        <v>199.8</v>
      </c>
      <c r="U520" s="208">
        <f>U518*1.12</f>
        <v>165.76000000000002</v>
      </c>
      <c r="V520" s="208">
        <f>V518*1.12</f>
        <v>129.92000000000002</v>
      </c>
      <c r="W520" s="208">
        <f>W518*1.12</f>
        <v>124.32000000000001</v>
      </c>
      <c r="X520" s="208">
        <f>X518*1.13</f>
        <v>92.66</v>
      </c>
      <c r="Y520" s="208">
        <f>Y518*1.13</f>
        <v>74.58</v>
      </c>
      <c r="Z520" s="209">
        <f>Z518*1.14</f>
        <v>54.72</v>
      </c>
    </row>
    <row r="522" spans="14:26" ht="13.5" thickBot="1" x14ac:dyDescent="0.25">
      <c r="N522" s="173">
        <v>48</v>
      </c>
      <c r="O522" s="49" t="s">
        <v>163</v>
      </c>
      <c r="R522" s="197" t="s">
        <v>117</v>
      </c>
    </row>
    <row r="523" spans="14:26" ht="13.5" thickBot="1" x14ac:dyDescent="0.25">
      <c r="O523" s="174" t="s">
        <v>52</v>
      </c>
      <c r="P523" s="175">
        <v>5</v>
      </c>
      <c r="Q523" s="176">
        <v>10</v>
      </c>
      <c r="R523" s="176">
        <v>15</v>
      </c>
      <c r="S523" s="176">
        <v>20</v>
      </c>
      <c r="T523" s="176">
        <v>30</v>
      </c>
      <c r="U523" s="176">
        <v>40</v>
      </c>
      <c r="V523" s="176">
        <v>50</v>
      </c>
      <c r="W523" s="176">
        <v>60</v>
      </c>
      <c r="X523" s="176">
        <v>90</v>
      </c>
      <c r="Y523" s="176">
        <v>120</v>
      </c>
      <c r="Z523" s="177">
        <v>180</v>
      </c>
    </row>
    <row r="524" spans="14:26" x14ac:dyDescent="0.2">
      <c r="O524" s="198">
        <v>1</v>
      </c>
      <c r="P524" s="201">
        <v>323</v>
      </c>
      <c r="Q524" s="88">
        <v>202</v>
      </c>
      <c r="R524" s="88">
        <v>149</v>
      </c>
      <c r="S524" s="88">
        <v>120</v>
      </c>
      <c r="T524" s="88">
        <v>86</v>
      </c>
      <c r="U524" s="88">
        <v>68</v>
      </c>
      <c r="V524" s="88">
        <v>56</v>
      </c>
      <c r="W524" s="88">
        <v>47</v>
      </c>
      <c r="X524" s="88">
        <v>32</v>
      </c>
      <c r="Y524" s="88">
        <v>24</v>
      </c>
      <c r="Z524" s="179">
        <v>16</v>
      </c>
    </row>
    <row r="525" spans="14:26" x14ac:dyDescent="0.2">
      <c r="O525" s="178">
        <v>0.5</v>
      </c>
      <c r="P525" s="201">
        <v>390</v>
      </c>
      <c r="Q525" s="88">
        <v>249</v>
      </c>
      <c r="R525" s="88">
        <v>187</v>
      </c>
      <c r="S525" s="88">
        <v>152</v>
      </c>
      <c r="T525" s="88">
        <v>112</v>
      </c>
      <c r="U525" s="88">
        <v>87</v>
      </c>
      <c r="V525" s="88">
        <v>72</v>
      </c>
      <c r="W525" s="88">
        <v>61</v>
      </c>
      <c r="X525" s="88">
        <v>42</v>
      </c>
      <c r="Y525" s="88">
        <v>32</v>
      </c>
      <c r="Z525" s="179">
        <v>21</v>
      </c>
    </row>
    <row r="526" spans="14:26" x14ac:dyDescent="0.2">
      <c r="O526" s="178">
        <v>0.2</v>
      </c>
      <c r="P526" s="201">
        <v>451</v>
      </c>
      <c r="Q526" s="88">
        <v>310</v>
      </c>
      <c r="R526" s="88">
        <v>239</v>
      </c>
      <c r="S526" s="88">
        <v>193</v>
      </c>
      <c r="T526" s="88">
        <v>142</v>
      </c>
      <c r="U526" s="88">
        <v>112</v>
      </c>
      <c r="V526" s="88">
        <v>92</v>
      </c>
      <c r="W526" s="88">
        <v>79</v>
      </c>
      <c r="X526" s="88">
        <v>55</v>
      </c>
      <c r="Y526" s="88">
        <v>42</v>
      </c>
      <c r="Z526" s="179">
        <v>28</v>
      </c>
    </row>
    <row r="527" spans="14:26" x14ac:dyDescent="0.2">
      <c r="O527" s="178">
        <v>0.1</v>
      </c>
      <c r="P527" s="201">
        <v>518</v>
      </c>
      <c r="Q527" s="88">
        <v>364</v>
      </c>
      <c r="R527" s="88">
        <v>282</v>
      </c>
      <c r="S527" s="88">
        <v>232</v>
      </c>
      <c r="T527" s="88">
        <v>171</v>
      </c>
      <c r="U527" s="88">
        <v>135</v>
      </c>
      <c r="V527" s="88">
        <v>112</v>
      </c>
      <c r="W527" s="88">
        <v>95</v>
      </c>
      <c r="X527" s="88">
        <v>66</v>
      </c>
      <c r="Y527" s="88">
        <v>50</v>
      </c>
      <c r="Z527" s="179">
        <v>34</v>
      </c>
    </row>
    <row r="528" spans="14:26" ht="13.5" thickBot="1" x14ac:dyDescent="0.25">
      <c r="O528" s="180">
        <v>0.05</v>
      </c>
      <c r="P528" s="201">
        <v>560</v>
      </c>
      <c r="Q528" s="202">
        <v>402</v>
      </c>
      <c r="R528" s="202">
        <v>314</v>
      </c>
      <c r="S528" s="202">
        <v>259</v>
      </c>
      <c r="T528" s="202">
        <v>192</v>
      </c>
      <c r="U528" s="202">
        <v>153</v>
      </c>
      <c r="V528" s="202">
        <v>127</v>
      </c>
      <c r="W528" s="202">
        <v>108</v>
      </c>
      <c r="X528" s="202">
        <v>76</v>
      </c>
      <c r="Y528" s="202">
        <v>58</v>
      </c>
      <c r="Z528" s="179">
        <v>39</v>
      </c>
    </row>
    <row r="529" spans="14:26" x14ac:dyDescent="0.2">
      <c r="O529" s="210">
        <v>3.3000000000000002E-2</v>
      </c>
      <c r="P529" s="226">
        <f>P528*1.08</f>
        <v>604.80000000000007</v>
      </c>
      <c r="Q529" s="205">
        <f>Q528*1.07</f>
        <v>430.14000000000004</v>
      </c>
      <c r="R529" s="205">
        <f>R528*1.07</f>
        <v>335.98</v>
      </c>
      <c r="S529" s="205">
        <f>S528*1.07</f>
        <v>277.13</v>
      </c>
      <c r="T529" s="205">
        <f>T528*1.08</f>
        <v>207.36</v>
      </c>
      <c r="U529" s="205">
        <f>U528*1.09</f>
        <v>166.77</v>
      </c>
      <c r="V529" s="205">
        <f>V528*1.1</f>
        <v>139.70000000000002</v>
      </c>
      <c r="W529" s="205">
        <f>W528*1.1</f>
        <v>118.80000000000001</v>
      </c>
      <c r="X529" s="205">
        <f>X528*1.11</f>
        <v>84.360000000000014</v>
      </c>
      <c r="Y529" s="205">
        <f>Y528*1.2</f>
        <v>69.599999999999994</v>
      </c>
      <c r="Z529" s="206">
        <f>Z528*1.13</f>
        <v>44.069999999999993</v>
      </c>
    </row>
    <row r="530" spans="14:26" x14ac:dyDescent="0.2">
      <c r="O530" s="210">
        <v>0.02</v>
      </c>
      <c r="P530" s="227">
        <f>P528*1.11</f>
        <v>621.6</v>
      </c>
      <c r="Q530" s="215">
        <f>Q528*1.11</f>
        <v>446.22</v>
      </c>
      <c r="R530" s="215">
        <f>R528*1.11</f>
        <v>348.54</v>
      </c>
      <c r="S530" s="215">
        <f>S528*1.11</f>
        <v>287.49</v>
      </c>
      <c r="T530" s="215">
        <f>T528*1.13</f>
        <v>216.95999999999998</v>
      </c>
      <c r="U530" s="215">
        <f>U528*1.13</f>
        <v>172.89</v>
      </c>
      <c r="V530" s="215">
        <f>V528*1.14</f>
        <v>144.78</v>
      </c>
      <c r="W530" s="215">
        <f>W528*1.14</f>
        <v>123.11999999999999</v>
      </c>
      <c r="X530" s="215">
        <f>X528*1.16</f>
        <v>88.16</v>
      </c>
      <c r="Y530" s="215">
        <f>Y528*1.16</f>
        <v>67.28</v>
      </c>
      <c r="Z530" s="216">
        <f>Z528*1.17</f>
        <v>45.629999999999995</v>
      </c>
    </row>
    <row r="531" spans="14:26" ht="13.5" thickBot="1" x14ac:dyDescent="0.25">
      <c r="O531" s="22">
        <v>0.01</v>
      </c>
      <c r="P531" s="228">
        <f>P528*1.17</f>
        <v>655.19999999999993</v>
      </c>
      <c r="Q531" s="208">
        <f>Q528*1.18</f>
        <v>474.35999999999996</v>
      </c>
      <c r="R531" s="208">
        <f>R528*1.2</f>
        <v>376.8</v>
      </c>
      <c r="S531" s="208">
        <f>S528*1.19</f>
        <v>308.20999999999998</v>
      </c>
      <c r="T531" s="208">
        <f>T528*1.21</f>
        <v>232.32</v>
      </c>
      <c r="U531" s="208">
        <f>U528*1.22</f>
        <v>186.66</v>
      </c>
      <c r="V531" s="208">
        <f>V528*1.19</f>
        <v>151.13</v>
      </c>
      <c r="W531" s="208">
        <f>W528*1.19</f>
        <v>128.51999999999998</v>
      </c>
      <c r="X531" s="208">
        <f>X528*1.19</f>
        <v>90.44</v>
      </c>
      <c r="Y531" s="208">
        <f>Y528*1.19</f>
        <v>69.02</v>
      </c>
      <c r="Z531" s="209">
        <f>Z528*1.19</f>
        <v>46.41</v>
      </c>
    </row>
    <row r="533" spans="14:26" ht="13.5" thickBot="1" x14ac:dyDescent="0.25">
      <c r="N533" s="173">
        <v>49</v>
      </c>
      <c r="O533" s="49" t="s">
        <v>164</v>
      </c>
      <c r="R533" s="197" t="s">
        <v>117</v>
      </c>
    </row>
    <row r="534" spans="14:26" ht="13.5" thickBot="1" x14ac:dyDescent="0.25">
      <c r="O534" s="174" t="s">
        <v>52</v>
      </c>
      <c r="P534" s="175">
        <v>5</v>
      </c>
      <c r="Q534" s="176">
        <v>10</v>
      </c>
      <c r="R534" s="176">
        <v>15</v>
      </c>
      <c r="S534" s="176">
        <v>20</v>
      </c>
      <c r="T534" s="176">
        <v>30</v>
      </c>
      <c r="U534" s="176">
        <v>40</v>
      </c>
      <c r="V534" s="176">
        <v>50</v>
      </c>
      <c r="W534" s="176">
        <v>60</v>
      </c>
      <c r="X534" s="176">
        <v>90</v>
      </c>
      <c r="Y534" s="176">
        <v>120</v>
      </c>
      <c r="Z534" s="177">
        <v>180</v>
      </c>
    </row>
    <row r="535" spans="14:26" x14ac:dyDescent="0.2">
      <c r="O535" s="198">
        <v>1</v>
      </c>
      <c r="P535" s="201">
        <v>238</v>
      </c>
      <c r="Q535" s="88">
        <v>171</v>
      </c>
      <c r="R535" s="88">
        <v>139</v>
      </c>
      <c r="S535" s="88">
        <v>119</v>
      </c>
      <c r="T535" s="88">
        <v>94</v>
      </c>
      <c r="U535" s="88">
        <v>80</v>
      </c>
      <c r="V535" s="88">
        <v>69</v>
      </c>
      <c r="W535" s="88">
        <v>61</v>
      </c>
      <c r="X535" s="88">
        <v>46</v>
      </c>
      <c r="Y535" s="88">
        <v>38</v>
      </c>
      <c r="Z535" s="179">
        <v>28</v>
      </c>
    </row>
    <row r="536" spans="14:26" x14ac:dyDescent="0.2">
      <c r="O536" s="178">
        <v>0.5</v>
      </c>
      <c r="P536" s="201">
        <v>279</v>
      </c>
      <c r="Q536" s="88">
        <v>203</v>
      </c>
      <c r="R536" s="88">
        <v>165</v>
      </c>
      <c r="S536" s="88">
        <v>142</v>
      </c>
      <c r="T536" s="88">
        <v>114</v>
      </c>
      <c r="U536" s="88">
        <v>96</v>
      </c>
      <c r="V536" s="88">
        <v>84</v>
      </c>
      <c r="W536" s="88">
        <v>75</v>
      </c>
      <c r="X536" s="88">
        <v>57</v>
      </c>
      <c r="Y536" s="88">
        <v>47</v>
      </c>
      <c r="Z536" s="179">
        <v>34</v>
      </c>
    </row>
    <row r="537" spans="14:26" x14ac:dyDescent="0.2">
      <c r="O537" s="178">
        <v>0.2</v>
      </c>
      <c r="P537" s="201">
        <v>330</v>
      </c>
      <c r="Q537" s="88">
        <v>244</v>
      </c>
      <c r="R537" s="88">
        <v>200</v>
      </c>
      <c r="S537" s="88">
        <v>173</v>
      </c>
      <c r="T537" s="88">
        <v>140</v>
      </c>
      <c r="U537" s="88">
        <v>118</v>
      </c>
      <c r="V537" s="88">
        <v>103</v>
      </c>
      <c r="W537" s="88">
        <v>92</v>
      </c>
      <c r="X537" s="88">
        <v>72</v>
      </c>
      <c r="Y537" s="88">
        <v>60</v>
      </c>
      <c r="Z537" s="179">
        <v>44</v>
      </c>
    </row>
    <row r="538" spans="14:26" x14ac:dyDescent="0.2">
      <c r="O538" s="178">
        <v>0.1</v>
      </c>
      <c r="P538" s="201">
        <v>383</v>
      </c>
      <c r="Q538" s="88">
        <v>280</v>
      </c>
      <c r="R538" s="88">
        <v>229</v>
      </c>
      <c r="S538" s="88">
        <v>197</v>
      </c>
      <c r="T538" s="88">
        <v>158</v>
      </c>
      <c r="U538" s="88">
        <v>134</v>
      </c>
      <c r="V538" s="88">
        <v>118</v>
      </c>
      <c r="W538" s="88">
        <v>107</v>
      </c>
      <c r="X538" s="88">
        <v>84</v>
      </c>
      <c r="Y538" s="88">
        <v>71</v>
      </c>
      <c r="Z538" s="179">
        <v>53</v>
      </c>
    </row>
    <row r="539" spans="14:26" x14ac:dyDescent="0.2">
      <c r="O539" s="178">
        <v>0.05</v>
      </c>
      <c r="P539" s="201">
        <v>438</v>
      </c>
      <c r="Q539" s="88">
        <v>310</v>
      </c>
      <c r="R539" s="88">
        <v>251</v>
      </c>
      <c r="S539" s="88">
        <v>216</v>
      </c>
      <c r="T539" s="88">
        <v>174</v>
      </c>
      <c r="U539" s="88">
        <v>149</v>
      </c>
      <c r="V539" s="88">
        <v>132</v>
      </c>
      <c r="W539" s="88">
        <v>118</v>
      </c>
      <c r="X539" s="88">
        <v>94</v>
      </c>
      <c r="Y539" s="88">
        <v>80</v>
      </c>
      <c r="Z539" s="179">
        <v>62</v>
      </c>
    </row>
    <row r="540" spans="14:26" ht="13.5" thickBot="1" x14ac:dyDescent="0.25">
      <c r="O540" s="180">
        <v>3.3000000000000002E-2</v>
      </c>
      <c r="P540" s="211">
        <v>485</v>
      </c>
      <c r="Q540" s="212">
        <v>338</v>
      </c>
      <c r="R540" s="212">
        <v>272</v>
      </c>
      <c r="S540" s="212">
        <v>233</v>
      </c>
      <c r="T540" s="212">
        <v>187</v>
      </c>
      <c r="U540" s="212">
        <v>159</v>
      </c>
      <c r="V540" s="212">
        <v>140</v>
      </c>
      <c r="W540" s="212">
        <v>127</v>
      </c>
      <c r="X540" s="212">
        <v>102</v>
      </c>
      <c r="Y540" s="212">
        <v>87</v>
      </c>
      <c r="Z540" s="213">
        <v>69</v>
      </c>
    </row>
    <row r="541" spans="14:26" x14ac:dyDescent="0.2">
      <c r="O541" s="178">
        <v>0.02</v>
      </c>
      <c r="P541" s="204">
        <f>P540*1.04</f>
        <v>504.40000000000003</v>
      </c>
      <c r="Q541" s="205">
        <f>Q540*1.05</f>
        <v>354.90000000000003</v>
      </c>
      <c r="R541" s="205">
        <f t="shared" ref="R541:X541" si="95">R540*1.06</f>
        <v>288.32</v>
      </c>
      <c r="S541" s="205">
        <f t="shared" si="95"/>
        <v>246.98000000000002</v>
      </c>
      <c r="T541" s="205">
        <f t="shared" si="95"/>
        <v>198.22</v>
      </c>
      <c r="U541" s="205">
        <f t="shared" si="95"/>
        <v>168.54000000000002</v>
      </c>
      <c r="V541" s="205">
        <f t="shared" si="95"/>
        <v>148.4</v>
      </c>
      <c r="W541" s="205">
        <f t="shared" si="95"/>
        <v>134.62</v>
      </c>
      <c r="X541" s="205">
        <f t="shared" si="95"/>
        <v>108.12</v>
      </c>
      <c r="Y541" s="205">
        <f>Y540*1.07</f>
        <v>93.09</v>
      </c>
      <c r="Z541" s="206">
        <f>Z540*1.07</f>
        <v>73.83</v>
      </c>
    </row>
    <row r="542" spans="14:26" ht="13.5" thickBot="1" x14ac:dyDescent="0.25">
      <c r="O542" s="180">
        <v>0.01</v>
      </c>
      <c r="P542" s="207">
        <f>P540*1.09</f>
        <v>528.65000000000009</v>
      </c>
      <c r="Q542" s="208">
        <f>Q540*1.1</f>
        <v>371.8</v>
      </c>
      <c r="R542" s="208">
        <f>R540*1.11</f>
        <v>301.92</v>
      </c>
      <c r="S542" s="208">
        <f>S540*1.11</f>
        <v>258.63</v>
      </c>
      <c r="T542" s="208">
        <f>T540*1.11</f>
        <v>207.57000000000002</v>
      </c>
      <c r="U542" s="208">
        <f>U540*1.12</f>
        <v>178.08</v>
      </c>
      <c r="V542" s="208">
        <f>V540*1.12</f>
        <v>156.80000000000001</v>
      </c>
      <c r="W542" s="208">
        <f>W540*1.12</f>
        <v>142.24</v>
      </c>
      <c r="X542" s="208">
        <f>X540*1.13</f>
        <v>115.25999999999999</v>
      </c>
      <c r="Y542" s="208">
        <f>Y540*1.13</f>
        <v>98.309999999999988</v>
      </c>
      <c r="Z542" s="209">
        <f>Z540*1.14</f>
        <v>78.66</v>
      </c>
    </row>
    <row r="544" spans="14:26" ht="13.5" thickBot="1" x14ac:dyDescent="0.25">
      <c r="N544" s="173">
        <v>50</v>
      </c>
      <c r="O544" s="49" t="s">
        <v>165</v>
      </c>
      <c r="R544" s="197" t="s">
        <v>117</v>
      </c>
    </row>
    <row r="545" spans="14:26" ht="13.5" thickBot="1" x14ac:dyDescent="0.25">
      <c r="O545" s="174" t="s">
        <v>52</v>
      </c>
      <c r="P545" s="175">
        <v>5</v>
      </c>
      <c r="Q545" s="176">
        <v>10</v>
      </c>
      <c r="R545" s="176">
        <v>15</v>
      </c>
      <c r="S545" s="176">
        <v>20</v>
      </c>
      <c r="T545" s="176">
        <v>30</v>
      </c>
      <c r="U545" s="176">
        <v>40</v>
      </c>
      <c r="V545" s="176">
        <v>50</v>
      </c>
      <c r="W545" s="176">
        <v>60</v>
      </c>
      <c r="X545" s="176">
        <v>90</v>
      </c>
      <c r="Y545" s="176">
        <v>120</v>
      </c>
      <c r="Z545" s="177">
        <v>180</v>
      </c>
    </row>
    <row r="546" spans="14:26" x14ac:dyDescent="0.2">
      <c r="O546" s="198">
        <v>1</v>
      </c>
      <c r="P546" s="201">
        <v>254</v>
      </c>
      <c r="Q546" s="88">
        <v>171</v>
      </c>
      <c r="R546" s="88">
        <v>130</v>
      </c>
      <c r="S546" s="88">
        <v>105</v>
      </c>
      <c r="T546" s="88">
        <v>77</v>
      </c>
      <c r="U546" s="88">
        <v>61</v>
      </c>
      <c r="V546" s="88">
        <v>50</v>
      </c>
      <c r="W546" s="88">
        <v>44</v>
      </c>
      <c r="X546" s="88">
        <v>32</v>
      </c>
      <c r="Y546" s="88">
        <v>25</v>
      </c>
      <c r="Z546" s="179">
        <v>18</v>
      </c>
    </row>
    <row r="547" spans="14:26" x14ac:dyDescent="0.2">
      <c r="O547" s="178">
        <v>0.5</v>
      </c>
      <c r="P547" s="201">
        <v>305</v>
      </c>
      <c r="Q547" s="88">
        <v>205</v>
      </c>
      <c r="R547" s="88">
        <v>157</v>
      </c>
      <c r="S547" s="88">
        <v>127</v>
      </c>
      <c r="T547" s="88">
        <v>91</v>
      </c>
      <c r="U547" s="88">
        <v>72</v>
      </c>
      <c r="V547" s="88">
        <v>60</v>
      </c>
      <c r="W547" s="88">
        <v>51</v>
      </c>
      <c r="X547" s="88">
        <v>37</v>
      </c>
      <c r="Y547" s="88">
        <v>29</v>
      </c>
      <c r="Z547" s="179">
        <v>21</v>
      </c>
    </row>
    <row r="548" spans="14:26" x14ac:dyDescent="0.2">
      <c r="O548" s="178">
        <v>0.2</v>
      </c>
      <c r="P548" s="201">
        <v>360</v>
      </c>
      <c r="Q548" s="88">
        <v>250</v>
      </c>
      <c r="R548" s="88">
        <v>191</v>
      </c>
      <c r="S548" s="88">
        <v>155</v>
      </c>
      <c r="T548" s="88">
        <v>112</v>
      </c>
      <c r="U548" s="88">
        <v>88</v>
      </c>
      <c r="V548" s="88">
        <v>73</v>
      </c>
      <c r="W548" s="88">
        <v>62</v>
      </c>
      <c r="X548" s="88">
        <v>44</v>
      </c>
      <c r="Y548" s="88">
        <v>34</v>
      </c>
      <c r="Z548" s="179">
        <v>24</v>
      </c>
    </row>
    <row r="549" spans="14:26" x14ac:dyDescent="0.2">
      <c r="O549" s="178">
        <v>0.1</v>
      </c>
      <c r="P549" s="201">
        <v>403</v>
      </c>
      <c r="Q549" s="88">
        <v>284</v>
      </c>
      <c r="R549" s="88">
        <v>220</v>
      </c>
      <c r="S549" s="88">
        <v>178</v>
      </c>
      <c r="T549" s="88">
        <v>130</v>
      </c>
      <c r="U549" s="88">
        <v>101</v>
      </c>
      <c r="V549" s="88">
        <v>82</v>
      </c>
      <c r="W549" s="88">
        <v>71</v>
      </c>
      <c r="X549" s="88">
        <v>50</v>
      </c>
      <c r="Y549" s="88">
        <v>39</v>
      </c>
      <c r="Z549" s="179">
        <v>28</v>
      </c>
    </row>
    <row r="550" spans="14:26" ht="13.5" thickBot="1" x14ac:dyDescent="0.25">
      <c r="O550" s="180">
        <v>0.05</v>
      </c>
      <c r="P550" s="211">
        <v>450</v>
      </c>
      <c r="Q550" s="212">
        <v>315</v>
      </c>
      <c r="R550" s="212">
        <v>245</v>
      </c>
      <c r="S550" s="212">
        <v>197</v>
      </c>
      <c r="T550" s="212">
        <v>143</v>
      </c>
      <c r="U550" s="212">
        <v>112</v>
      </c>
      <c r="V550" s="212">
        <v>91</v>
      </c>
      <c r="W550" s="212">
        <v>78</v>
      </c>
      <c r="X550" s="212">
        <v>55</v>
      </c>
      <c r="Y550" s="212">
        <v>43</v>
      </c>
      <c r="Z550" s="213">
        <v>30</v>
      </c>
    </row>
    <row r="551" spans="14:26" x14ac:dyDescent="0.2">
      <c r="O551" s="178">
        <v>3.3000000000000002E-2</v>
      </c>
      <c r="P551" s="226">
        <f>P550*1.08</f>
        <v>486.00000000000006</v>
      </c>
      <c r="Q551" s="205">
        <f>Q550*1.07</f>
        <v>337.05</v>
      </c>
      <c r="R551" s="205">
        <f>R550*1.07</f>
        <v>262.15000000000003</v>
      </c>
      <c r="S551" s="205">
        <f>S550*1.07</f>
        <v>210.79000000000002</v>
      </c>
      <c r="T551" s="205">
        <f>T550*1.08</f>
        <v>154.44</v>
      </c>
      <c r="U551" s="205">
        <f>U550*1.09</f>
        <v>122.08000000000001</v>
      </c>
      <c r="V551" s="205">
        <f>V550*1.1</f>
        <v>100.10000000000001</v>
      </c>
      <c r="W551" s="205">
        <f>W550*1.1</f>
        <v>85.800000000000011</v>
      </c>
      <c r="X551" s="205">
        <f>X550*1.11</f>
        <v>61.050000000000004</v>
      </c>
      <c r="Y551" s="205">
        <f>Y550*1.2</f>
        <v>51.6</v>
      </c>
      <c r="Z551" s="206">
        <f>Z550*1.13</f>
        <v>33.9</v>
      </c>
    </row>
    <row r="552" spans="14:26" x14ac:dyDescent="0.2">
      <c r="O552" s="178">
        <v>0.02</v>
      </c>
      <c r="P552" s="227">
        <f>P550*1.11</f>
        <v>499.50000000000006</v>
      </c>
      <c r="Q552" s="215">
        <f>Q550*1.11</f>
        <v>349.65000000000003</v>
      </c>
      <c r="R552" s="215">
        <f>R550*1.11</f>
        <v>271.95000000000005</v>
      </c>
      <c r="S552" s="215">
        <f>S550*1.11</f>
        <v>218.67000000000002</v>
      </c>
      <c r="T552" s="215">
        <f>T550*1.13</f>
        <v>161.58999999999997</v>
      </c>
      <c r="U552" s="215">
        <f>U550*1.13</f>
        <v>126.55999999999999</v>
      </c>
      <c r="V552" s="215">
        <f>V550*1.14</f>
        <v>103.74</v>
      </c>
      <c r="W552" s="215">
        <f>W550*1.14</f>
        <v>88.919999999999987</v>
      </c>
      <c r="X552" s="215">
        <f>X550*1.16</f>
        <v>63.8</v>
      </c>
      <c r="Y552" s="215">
        <f>Y550*1.16</f>
        <v>49.879999999999995</v>
      </c>
      <c r="Z552" s="216">
        <f>Z550*1.17</f>
        <v>35.099999999999994</v>
      </c>
    </row>
    <row r="553" spans="14:26" ht="13.5" thickBot="1" x14ac:dyDescent="0.25">
      <c r="O553" s="180">
        <v>0.01</v>
      </c>
      <c r="P553" s="228">
        <f>P550*1.17</f>
        <v>526.5</v>
      </c>
      <c r="Q553" s="208">
        <f>Q550*1.18</f>
        <v>371.7</v>
      </c>
      <c r="R553" s="208">
        <f>R550*1.2</f>
        <v>294</v>
      </c>
      <c r="S553" s="208">
        <f>S550*1.19</f>
        <v>234.42999999999998</v>
      </c>
      <c r="T553" s="208">
        <f>T550*1.21</f>
        <v>173.03</v>
      </c>
      <c r="U553" s="208">
        <f>U550*1.22</f>
        <v>136.63999999999999</v>
      </c>
      <c r="V553" s="208">
        <f>V550*1.19</f>
        <v>108.28999999999999</v>
      </c>
      <c r="W553" s="208">
        <f>W550*1.19</f>
        <v>92.82</v>
      </c>
      <c r="X553" s="208">
        <f>X550*1.19</f>
        <v>65.45</v>
      </c>
      <c r="Y553" s="208">
        <f>Y550*1.19</f>
        <v>51.169999999999995</v>
      </c>
      <c r="Z553" s="209">
        <f>Z550*1.19</f>
        <v>35.699999999999996</v>
      </c>
    </row>
    <row r="555" spans="14:26" ht="13.5" thickBot="1" x14ac:dyDescent="0.25">
      <c r="N555" s="173">
        <v>51</v>
      </c>
      <c r="O555" s="49" t="s">
        <v>166</v>
      </c>
      <c r="R555" s="197" t="s">
        <v>117</v>
      </c>
    </row>
    <row r="556" spans="14:26" ht="13.5" thickBot="1" x14ac:dyDescent="0.25">
      <c r="O556" s="174" t="s">
        <v>52</v>
      </c>
      <c r="P556" s="175">
        <v>5</v>
      </c>
      <c r="Q556" s="176">
        <v>10</v>
      </c>
      <c r="R556" s="176">
        <v>15</v>
      </c>
      <c r="S556" s="176">
        <v>20</v>
      </c>
      <c r="T556" s="176">
        <v>30</v>
      </c>
      <c r="U556" s="176">
        <v>40</v>
      </c>
      <c r="V556" s="176">
        <v>50</v>
      </c>
      <c r="W556" s="176">
        <v>60</v>
      </c>
      <c r="X556" s="176">
        <v>90</v>
      </c>
      <c r="Y556" s="176">
        <v>120</v>
      </c>
      <c r="Z556" s="177">
        <v>180</v>
      </c>
    </row>
    <row r="557" spans="14:26" x14ac:dyDescent="0.2">
      <c r="O557" s="198">
        <v>1</v>
      </c>
      <c r="P557" s="201">
        <v>214</v>
      </c>
      <c r="Q557" s="88">
        <v>154</v>
      </c>
      <c r="R557" s="88">
        <v>122</v>
      </c>
      <c r="S557" s="88">
        <v>100</v>
      </c>
      <c r="T557" s="88">
        <v>77</v>
      </c>
      <c r="U557" s="88">
        <v>63</v>
      </c>
      <c r="V557" s="88">
        <v>54</v>
      </c>
      <c r="W557" s="88">
        <v>47</v>
      </c>
      <c r="X557" s="88">
        <v>34</v>
      </c>
      <c r="Y557" s="88">
        <v>27</v>
      </c>
      <c r="Z557" s="179">
        <v>19</v>
      </c>
    </row>
    <row r="558" spans="14:26" x14ac:dyDescent="0.2">
      <c r="O558" s="178">
        <v>0.5</v>
      </c>
      <c r="P558" s="201">
        <v>253</v>
      </c>
      <c r="Q558" s="88">
        <v>188</v>
      </c>
      <c r="R558" s="88">
        <v>149</v>
      </c>
      <c r="S558" s="88">
        <v>124</v>
      </c>
      <c r="T558" s="88">
        <v>95</v>
      </c>
      <c r="U558" s="88">
        <v>78</v>
      </c>
      <c r="V558" s="88">
        <v>67</v>
      </c>
      <c r="W558" s="88">
        <v>58</v>
      </c>
      <c r="X558" s="88">
        <v>43</v>
      </c>
      <c r="Y558" s="88">
        <v>34</v>
      </c>
      <c r="Z558" s="179">
        <v>24</v>
      </c>
    </row>
    <row r="559" spans="14:26" x14ac:dyDescent="0.2">
      <c r="O559" s="178">
        <v>0.2</v>
      </c>
      <c r="P559" s="201">
        <v>305</v>
      </c>
      <c r="Q559" s="88">
        <v>230</v>
      </c>
      <c r="R559" s="88">
        <v>183</v>
      </c>
      <c r="S559" s="88">
        <v>154</v>
      </c>
      <c r="T559" s="88">
        <v>120</v>
      </c>
      <c r="U559" s="88">
        <v>99</v>
      </c>
      <c r="V559" s="88">
        <v>85</v>
      </c>
      <c r="W559" s="88">
        <v>75</v>
      </c>
      <c r="X559" s="88">
        <v>55</v>
      </c>
      <c r="Y559" s="88">
        <v>44</v>
      </c>
      <c r="Z559" s="179">
        <v>31</v>
      </c>
    </row>
    <row r="560" spans="14:26" x14ac:dyDescent="0.2">
      <c r="O560" s="178">
        <v>0.1</v>
      </c>
      <c r="P560" s="201">
        <v>352</v>
      </c>
      <c r="Q560" s="88">
        <v>268</v>
      </c>
      <c r="R560" s="88">
        <v>214</v>
      </c>
      <c r="S560" s="88">
        <v>180</v>
      </c>
      <c r="T560" s="88">
        <v>140</v>
      </c>
      <c r="U560" s="88">
        <v>115</v>
      </c>
      <c r="V560" s="88">
        <v>98</v>
      </c>
      <c r="W560" s="88">
        <v>86</v>
      </c>
      <c r="X560" s="88">
        <v>64</v>
      </c>
      <c r="Y560" s="88">
        <v>52</v>
      </c>
      <c r="Z560" s="179">
        <v>38</v>
      </c>
    </row>
    <row r="561" spans="14:26" x14ac:dyDescent="0.2">
      <c r="O561" s="178">
        <v>0.05</v>
      </c>
      <c r="P561" s="201">
        <v>400</v>
      </c>
      <c r="Q561" s="88">
        <v>300</v>
      </c>
      <c r="R561" s="88">
        <v>244</v>
      </c>
      <c r="S561" s="88">
        <v>203</v>
      </c>
      <c r="T561" s="88">
        <v>154</v>
      </c>
      <c r="U561" s="88">
        <v>126</v>
      </c>
      <c r="V561" s="88">
        <v>107</v>
      </c>
      <c r="W561" s="88">
        <v>94</v>
      </c>
      <c r="X561" s="88">
        <v>70</v>
      </c>
      <c r="Y561" s="88">
        <v>58</v>
      </c>
      <c r="Z561" s="179">
        <v>43</v>
      </c>
    </row>
    <row r="562" spans="14:26" x14ac:dyDescent="0.2">
      <c r="O562" s="178">
        <v>3.3000000000000002E-2</v>
      </c>
      <c r="P562" s="201">
        <v>430</v>
      </c>
      <c r="Q562" s="88">
        <v>326</v>
      </c>
      <c r="R562" s="88">
        <v>263</v>
      </c>
      <c r="S562" s="88">
        <v>218</v>
      </c>
      <c r="T562" s="88">
        <v>165</v>
      </c>
      <c r="U562" s="88">
        <v>134</v>
      </c>
      <c r="V562" s="88">
        <v>113</v>
      </c>
      <c r="W562" s="88">
        <v>99</v>
      </c>
      <c r="X562" s="88">
        <v>74</v>
      </c>
      <c r="Y562" s="88">
        <v>61</v>
      </c>
      <c r="Z562" s="179">
        <v>45</v>
      </c>
    </row>
    <row r="563" spans="14:26" x14ac:dyDescent="0.2">
      <c r="O563" s="178">
        <v>0.02</v>
      </c>
      <c r="P563" s="201">
        <v>456</v>
      </c>
      <c r="Q563" s="88">
        <v>335</v>
      </c>
      <c r="R563" s="88">
        <v>268</v>
      </c>
      <c r="S563" s="88">
        <v>224</v>
      </c>
      <c r="T563" s="88">
        <v>172</v>
      </c>
      <c r="U563" s="88">
        <v>141</v>
      </c>
      <c r="V563" s="88">
        <v>119</v>
      </c>
      <c r="W563" s="88">
        <v>104</v>
      </c>
      <c r="X563" s="88">
        <v>77</v>
      </c>
      <c r="Y563" s="88">
        <v>63</v>
      </c>
      <c r="Z563" s="179">
        <v>47</v>
      </c>
    </row>
    <row r="564" spans="14:26" ht="13.5" thickBot="1" x14ac:dyDescent="0.25">
      <c r="O564" s="180">
        <v>0.01</v>
      </c>
      <c r="P564" s="211">
        <v>486</v>
      </c>
      <c r="Q564" s="212">
        <v>363</v>
      </c>
      <c r="R564" s="212">
        <v>292</v>
      </c>
      <c r="S564" s="212">
        <v>247</v>
      </c>
      <c r="T564" s="212">
        <v>189</v>
      </c>
      <c r="U564" s="212">
        <v>154</v>
      </c>
      <c r="V564" s="212">
        <v>131</v>
      </c>
      <c r="W564" s="212">
        <v>114</v>
      </c>
      <c r="X564" s="212">
        <v>85</v>
      </c>
      <c r="Y564" s="212">
        <v>70</v>
      </c>
      <c r="Z564" s="213">
        <v>52</v>
      </c>
    </row>
    <row r="566" spans="14:26" ht="13.5" thickBot="1" x14ac:dyDescent="0.25">
      <c r="N566" s="173">
        <v>52</v>
      </c>
      <c r="O566" s="49" t="s">
        <v>167</v>
      </c>
      <c r="R566" s="197" t="s">
        <v>117</v>
      </c>
    </row>
    <row r="567" spans="14:26" ht="13.5" thickBot="1" x14ac:dyDescent="0.25">
      <c r="O567" s="174" t="s">
        <v>52</v>
      </c>
      <c r="P567" s="175">
        <v>5</v>
      </c>
      <c r="Q567" s="176">
        <v>10</v>
      </c>
      <c r="R567" s="176">
        <v>15</v>
      </c>
      <c r="S567" s="176">
        <v>20</v>
      </c>
      <c r="T567" s="176">
        <v>30</v>
      </c>
      <c r="U567" s="176">
        <v>40</v>
      </c>
      <c r="V567" s="176">
        <v>50</v>
      </c>
      <c r="W567" s="176">
        <v>60</v>
      </c>
      <c r="X567" s="176">
        <v>90</v>
      </c>
      <c r="Y567" s="176">
        <v>120</v>
      </c>
      <c r="Z567" s="177">
        <v>180</v>
      </c>
    </row>
    <row r="568" spans="14:26" x14ac:dyDescent="0.2">
      <c r="O568" s="198">
        <v>1</v>
      </c>
      <c r="P568" s="201">
        <v>250</v>
      </c>
      <c r="Q568" s="88">
        <v>169</v>
      </c>
      <c r="R568" s="88">
        <v>132</v>
      </c>
      <c r="S568" s="88">
        <v>110</v>
      </c>
      <c r="T568" s="88">
        <v>84</v>
      </c>
      <c r="U568" s="88">
        <v>68</v>
      </c>
      <c r="V568" s="88">
        <v>57</v>
      </c>
      <c r="W568" s="88">
        <v>50</v>
      </c>
      <c r="X568" s="88">
        <v>35</v>
      </c>
      <c r="Y568" s="88">
        <v>27</v>
      </c>
      <c r="Z568" s="179">
        <v>17</v>
      </c>
    </row>
    <row r="569" spans="14:26" x14ac:dyDescent="0.2">
      <c r="O569" s="178">
        <v>0.5</v>
      </c>
      <c r="P569" s="201">
        <v>298</v>
      </c>
      <c r="Q569" s="88">
        <v>204</v>
      </c>
      <c r="R569" s="88">
        <v>160</v>
      </c>
      <c r="S569" s="88">
        <v>134</v>
      </c>
      <c r="T569" s="88">
        <v>102</v>
      </c>
      <c r="U569" s="88">
        <v>84</v>
      </c>
      <c r="V569" s="88">
        <v>71</v>
      </c>
      <c r="W569" s="88">
        <v>62</v>
      </c>
      <c r="X569" s="88">
        <v>44</v>
      </c>
      <c r="Y569" s="88">
        <v>34</v>
      </c>
      <c r="Z569" s="179">
        <v>24</v>
      </c>
    </row>
    <row r="570" spans="14:26" x14ac:dyDescent="0.2">
      <c r="O570" s="178">
        <v>0.2</v>
      </c>
      <c r="P570" s="201">
        <v>357</v>
      </c>
      <c r="Q570" s="88">
        <v>249</v>
      </c>
      <c r="R570" s="88">
        <v>198</v>
      </c>
      <c r="S570" s="88">
        <v>167</v>
      </c>
      <c r="T570" s="88">
        <v>129</v>
      </c>
      <c r="U570" s="88">
        <v>107</v>
      </c>
      <c r="V570" s="88">
        <v>91</v>
      </c>
      <c r="W570" s="88">
        <v>80</v>
      </c>
      <c r="X570" s="88">
        <v>58</v>
      </c>
      <c r="Y570" s="88">
        <v>46</v>
      </c>
      <c r="Z570" s="179">
        <v>31</v>
      </c>
    </row>
    <row r="571" spans="14:26" x14ac:dyDescent="0.2">
      <c r="O571" s="178">
        <v>0.1</v>
      </c>
      <c r="P571" s="201">
        <v>402</v>
      </c>
      <c r="Q571" s="88">
        <v>284</v>
      </c>
      <c r="R571" s="88">
        <v>227</v>
      </c>
      <c r="S571" s="88">
        <v>192</v>
      </c>
      <c r="T571" s="88">
        <v>150</v>
      </c>
      <c r="U571" s="88">
        <v>125</v>
      </c>
      <c r="V571" s="88">
        <v>107</v>
      </c>
      <c r="W571" s="88">
        <v>93</v>
      </c>
      <c r="X571" s="88">
        <v>69</v>
      </c>
      <c r="Y571" s="88">
        <v>54</v>
      </c>
      <c r="Z571" s="179">
        <v>38</v>
      </c>
    </row>
    <row r="572" spans="14:26" ht="13.5" thickBot="1" x14ac:dyDescent="0.25">
      <c r="O572" s="180">
        <v>0.05</v>
      </c>
      <c r="P572" s="211">
        <v>440</v>
      </c>
      <c r="Q572" s="189">
        <v>312</v>
      </c>
      <c r="R572" s="189">
        <v>252</v>
      </c>
      <c r="S572" s="189">
        <v>213</v>
      </c>
      <c r="T572" s="189">
        <v>168</v>
      </c>
      <c r="U572" s="189">
        <v>140</v>
      </c>
      <c r="V572" s="189">
        <v>121</v>
      </c>
      <c r="W572" s="189">
        <v>107</v>
      </c>
      <c r="X572" s="189">
        <v>79</v>
      </c>
      <c r="Y572" s="189">
        <v>62</v>
      </c>
      <c r="Z572" s="213">
        <v>42</v>
      </c>
    </row>
    <row r="573" spans="14:26" x14ac:dyDescent="0.2">
      <c r="O573" s="178">
        <v>3.3000000000000002E-2</v>
      </c>
      <c r="P573" s="226">
        <f>P572*1.08</f>
        <v>475.20000000000005</v>
      </c>
      <c r="Q573" s="205">
        <f>Q572*1.07</f>
        <v>333.84000000000003</v>
      </c>
      <c r="R573" s="205">
        <f>R572*1.07</f>
        <v>269.64000000000004</v>
      </c>
      <c r="S573" s="205">
        <f>S572*1.07</f>
        <v>227.91000000000003</v>
      </c>
      <c r="T573" s="205">
        <f>T572*1.08</f>
        <v>181.44</v>
      </c>
      <c r="U573" s="205">
        <f>U572*1.09</f>
        <v>152.60000000000002</v>
      </c>
      <c r="V573" s="205">
        <f>V572*1.1</f>
        <v>133.10000000000002</v>
      </c>
      <c r="W573" s="205">
        <f>W572*1.1</f>
        <v>117.7</v>
      </c>
      <c r="X573" s="205">
        <f>X572*1.11</f>
        <v>87.690000000000012</v>
      </c>
      <c r="Y573" s="205">
        <f>Y572*1.2</f>
        <v>74.399999999999991</v>
      </c>
      <c r="Z573" s="206">
        <f>Z572*1.13</f>
        <v>47.459999999999994</v>
      </c>
    </row>
    <row r="574" spans="14:26" x14ac:dyDescent="0.2">
      <c r="O574" s="178">
        <v>0.02</v>
      </c>
      <c r="P574" s="227">
        <f>P572*1.11</f>
        <v>488.40000000000003</v>
      </c>
      <c r="Q574" s="215">
        <f>Q572*1.11</f>
        <v>346.32000000000005</v>
      </c>
      <c r="R574" s="215">
        <f>R572*1.11</f>
        <v>279.72000000000003</v>
      </c>
      <c r="S574" s="215">
        <f>S572*1.11</f>
        <v>236.43</v>
      </c>
      <c r="T574" s="215">
        <f>T572*1.13</f>
        <v>189.83999999999997</v>
      </c>
      <c r="U574" s="215">
        <f>U572*1.13</f>
        <v>158.19999999999999</v>
      </c>
      <c r="V574" s="215">
        <f>V572*1.14</f>
        <v>137.94</v>
      </c>
      <c r="W574" s="215">
        <f>W572*1.14</f>
        <v>121.97999999999999</v>
      </c>
      <c r="X574" s="215">
        <f>X572*1.16</f>
        <v>91.64</v>
      </c>
      <c r="Y574" s="215">
        <f>Y572*1.16</f>
        <v>71.92</v>
      </c>
      <c r="Z574" s="216">
        <f>Z572*1.17</f>
        <v>49.14</v>
      </c>
    </row>
    <row r="575" spans="14:26" ht="13.5" thickBot="1" x14ac:dyDescent="0.25">
      <c r="O575" s="180">
        <v>0.01</v>
      </c>
      <c r="P575" s="228">
        <f>P572*1.17</f>
        <v>514.79999999999995</v>
      </c>
      <c r="Q575" s="208">
        <f>Q572*1.18</f>
        <v>368.15999999999997</v>
      </c>
      <c r="R575" s="208">
        <f>R572*1.2</f>
        <v>302.39999999999998</v>
      </c>
      <c r="S575" s="208">
        <f>S572*1.19</f>
        <v>253.47</v>
      </c>
      <c r="T575" s="208">
        <f>T572*1.21</f>
        <v>203.28</v>
      </c>
      <c r="U575" s="208">
        <f>U572*1.22</f>
        <v>170.79999999999998</v>
      </c>
      <c r="V575" s="208">
        <f>V572*1.19</f>
        <v>143.98999999999998</v>
      </c>
      <c r="W575" s="208">
        <f>W572*1.19</f>
        <v>127.33</v>
      </c>
      <c r="X575" s="208">
        <f>X572*1.19</f>
        <v>94.009999999999991</v>
      </c>
      <c r="Y575" s="208">
        <f>Y572*1.19</f>
        <v>73.78</v>
      </c>
      <c r="Z575" s="209">
        <f>Z572*1.19</f>
        <v>49.98</v>
      </c>
    </row>
    <row r="577" spans="14:26" ht="13.5" thickBot="1" x14ac:dyDescent="0.25">
      <c r="N577" s="173">
        <v>53</v>
      </c>
      <c r="O577" s="49" t="s">
        <v>168</v>
      </c>
      <c r="R577" s="197" t="s">
        <v>117</v>
      </c>
    </row>
    <row r="578" spans="14:26" ht="13.5" thickBot="1" x14ac:dyDescent="0.25">
      <c r="O578" s="174" t="s">
        <v>52</v>
      </c>
      <c r="P578" s="175">
        <v>5</v>
      </c>
      <c r="Q578" s="176">
        <v>10</v>
      </c>
      <c r="R578" s="176">
        <v>15</v>
      </c>
      <c r="S578" s="176">
        <v>20</v>
      </c>
      <c r="T578" s="176">
        <v>30</v>
      </c>
      <c r="U578" s="176">
        <v>40</v>
      </c>
      <c r="V578" s="176">
        <v>50</v>
      </c>
      <c r="W578" s="176">
        <v>60</v>
      </c>
      <c r="X578" s="176">
        <v>90</v>
      </c>
      <c r="Y578" s="176">
        <v>120</v>
      </c>
      <c r="Z578" s="177">
        <v>180</v>
      </c>
    </row>
    <row r="579" spans="14:26" x14ac:dyDescent="0.2">
      <c r="O579" s="198">
        <v>1</v>
      </c>
      <c r="P579" s="201">
        <v>272</v>
      </c>
      <c r="Q579" s="88">
        <v>187</v>
      </c>
      <c r="R579" s="88">
        <v>142</v>
      </c>
      <c r="S579" s="88">
        <v>116</v>
      </c>
      <c r="T579" s="88">
        <v>87</v>
      </c>
      <c r="U579" s="88">
        <v>68</v>
      </c>
      <c r="V579" s="88">
        <v>56</v>
      </c>
      <c r="W579" s="88">
        <v>48</v>
      </c>
      <c r="X579" s="88">
        <v>34</v>
      </c>
      <c r="Y579" s="88">
        <v>26</v>
      </c>
      <c r="Z579" s="179">
        <v>17</v>
      </c>
    </row>
    <row r="580" spans="14:26" x14ac:dyDescent="0.2">
      <c r="O580" s="178">
        <v>0.5</v>
      </c>
      <c r="P580" s="201">
        <v>338</v>
      </c>
      <c r="Q580" s="88">
        <v>232</v>
      </c>
      <c r="R580" s="88">
        <v>176</v>
      </c>
      <c r="S580" s="88">
        <v>143</v>
      </c>
      <c r="T580" s="88">
        <v>106</v>
      </c>
      <c r="U580" s="88">
        <v>85</v>
      </c>
      <c r="V580" s="88">
        <v>71</v>
      </c>
      <c r="W580" s="88">
        <v>60</v>
      </c>
      <c r="X580" s="88">
        <v>43</v>
      </c>
      <c r="Y580" s="88">
        <v>33</v>
      </c>
      <c r="Z580" s="179">
        <v>22</v>
      </c>
    </row>
    <row r="581" spans="14:26" x14ac:dyDescent="0.2">
      <c r="O581" s="178">
        <v>0.2</v>
      </c>
      <c r="P581" s="201">
        <v>382</v>
      </c>
      <c r="Q581" s="88">
        <v>277</v>
      </c>
      <c r="R581" s="88">
        <v>219</v>
      </c>
      <c r="S581" s="88">
        <v>181</v>
      </c>
      <c r="T581" s="88">
        <v>137</v>
      </c>
      <c r="U581" s="88">
        <v>111</v>
      </c>
      <c r="V581" s="88">
        <v>92</v>
      </c>
      <c r="W581" s="88">
        <v>80</v>
      </c>
      <c r="X581" s="88">
        <v>56</v>
      </c>
      <c r="Y581" s="88">
        <v>44</v>
      </c>
      <c r="Z581" s="179">
        <v>30</v>
      </c>
    </row>
    <row r="582" spans="14:26" x14ac:dyDescent="0.2">
      <c r="O582" s="178">
        <v>0.1</v>
      </c>
      <c r="P582" s="201">
        <v>429</v>
      </c>
      <c r="Q582" s="88">
        <v>309</v>
      </c>
      <c r="R582" s="88">
        <v>247</v>
      </c>
      <c r="S582" s="88">
        <v>205</v>
      </c>
      <c r="T582" s="88">
        <v>157</v>
      </c>
      <c r="U582" s="88">
        <v>129</v>
      </c>
      <c r="V582" s="88">
        <v>108</v>
      </c>
      <c r="W582" s="88">
        <v>94</v>
      </c>
      <c r="X582" s="88">
        <v>67</v>
      </c>
      <c r="Y582" s="88">
        <v>52</v>
      </c>
      <c r="Z582" s="179">
        <v>39</v>
      </c>
    </row>
    <row r="583" spans="14:26" x14ac:dyDescent="0.2">
      <c r="O583" s="178">
        <v>0.05</v>
      </c>
      <c r="P583" s="201">
        <v>467</v>
      </c>
      <c r="Q583" s="88">
        <v>344</v>
      </c>
      <c r="R583" s="88">
        <v>276</v>
      </c>
      <c r="S583" s="88">
        <v>235</v>
      </c>
      <c r="T583" s="88">
        <v>190</v>
      </c>
      <c r="U583" s="88">
        <v>147</v>
      </c>
      <c r="V583" s="88">
        <v>123</v>
      </c>
      <c r="W583" s="88">
        <v>108</v>
      </c>
      <c r="X583" s="88">
        <v>77</v>
      </c>
      <c r="Y583" s="88">
        <v>60</v>
      </c>
      <c r="Z583" s="179">
        <v>42</v>
      </c>
    </row>
    <row r="584" spans="14:26" ht="13.5" thickBot="1" x14ac:dyDescent="0.25">
      <c r="O584" s="180">
        <v>3.3000000000000002E-2</v>
      </c>
      <c r="P584" s="201">
        <v>490</v>
      </c>
      <c r="Q584" s="202">
        <v>365</v>
      </c>
      <c r="R584" s="202">
        <v>293</v>
      </c>
      <c r="S584" s="202">
        <v>248</v>
      </c>
      <c r="T584" s="202">
        <v>190</v>
      </c>
      <c r="U584" s="202">
        <v>157</v>
      </c>
      <c r="V584" s="202">
        <v>138</v>
      </c>
      <c r="W584" s="202">
        <v>116</v>
      </c>
      <c r="X584" s="202">
        <v>84</v>
      </c>
      <c r="Y584" s="202">
        <v>66</v>
      </c>
      <c r="Z584" s="179">
        <v>46</v>
      </c>
    </row>
    <row r="585" spans="14:26" x14ac:dyDescent="0.2">
      <c r="O585" s="210">
        <v>0.02</v>
      </c>
      <c r="P585" s="226">
        <f>P584*1.04</f>
        <v>509.6</v>
      </c>
      <c r="Q585" s="205">
        <f>Q584*1.05</f>
        <v>383.25</v>
      </c>
      <c r="R585" s="205">
        <f t="shared" ref="R585:X585" si="96">R584*1.06</f>
        <v>310.58000000000004</v>
      </c>
      <c r="S585" s="205">
        <f t="shared" si="96"/>
        <v>262.88</v>
      </c>
      <c r="T585" s="205">
        <f t="shared" si="96"/>
        <v>201.4</v>
      </c>
      <c r="U585" s="205">
        <f t="shared" si="96"/>
        <v>166.42000000000002</v>
      </c>
      <c r="V585" s="205">
        <f t="shared" si="96"/>
        <v>146.28</v>
      </c>
      <c r="W585" s="205">
        <f t="shared" si="96"/>
        <v>122.96000000000001</v>
      </c>
      <c r="X585" s="205">
        <f t="shared" si="96"/>
        <v>89.04</v>
      </c>
      <c r="Y585" s="205">
        <f>Y584*1.07</f>
        <v>70.62</v>
      </c>
      <c r="Z585" s="206">
        <f>Z584*1.07</f>
        <v>49.220000000000006</v>
      </c>
    </row>
    <row r="586" spans="14:26" ht="13.5" thickBot="1" x14ac:dyDescent="0.25">
      <c r="O586" s="22">
        <v>0.01</v>
      </c>
      <c r="P586" s="228">
        <f>P584*1.09</f>
        <v>534.1</v>
      </c>
      <c r="Q586" s="208">
        <f>Q584*1.1</f>
        <v>401.50000000000006</v>
      </c>
      <c r="R586" s="208">
        <f>R584*1.11</f>
        <v>325.23</v>
      </c>
      <c r="S586" s="208">
        <f>S584*1.11</f>
        <v>275.28000000000003</v>
      </c>
      <c r="T586" s="208">
        <f>T584*1.11</f>
        <v>210.9</v>
      </c>
      <c r="U586" s="208">
        <f>U584*1.12</f>
        <v>175.84</v>
      </c>
      <c r="V586" s="208">
        <f>V584*1.12</f>
        <v>154.56</v>
      </c>
      <c r="W586" s="208">
        <f>W584*1.12</f>
        <v>129.92000000000002</v>
      </c>
      <c r="X586" s="208">
        <f>X584*1.13</f>
        <v>94.919999999999987</v>
      </c>
      <c r="Y586" s="208">
        <f>Y584*1.13</f>
        <v>74.58</v>
      </c>
      <c r="Z586" s="209">
        <f>Z584*1.14</f>
        <v>52.44</v>
      </c>
    </row>
    <row r="588" spans="14:26" ht="13.5" thickBot="1" x14ac:dyDescent="0.25">
      <c r="N588" s="173">
        <v>54</v>
      </c>
      <c r="O588" s="49" t="s">
        <v>169</v>
      </c>
      <c r="R588" s="197" t="s">
        <v>117</v>
      </c>
    </row>
    <row r="589" spans="14:26" ht="13.5" thickBot="1" x14ac:dyDescent="0.25">
      <c r="O589" s="174" t="s">
        <v>52</v>
      </c>
      <c r="P589" s="175">
        <v>5</v>
      </c>
      <c r="Q589" s="176">
        <v>10</v>
      </c>
      <c r="R589" s="176">
        <v>15</v>
      </c>
      <c r="S589" s="176">
        <v>20</v>
      </c>
      <c r="T589" s="176">
        <v>30</v>
      </c>
      <c r="U589" s="176">
        <v>40</v>
      </c>
      <c r="V589" s="176">
        <v>50</v>
      </c>
      <c r="W589" s="176">
        <v>60</v>
      </c>
      <c r="X589" s="176">
        <v>90</v>
      </c>
      <c r="Y589" s="176">
        <v>120</v>
      </c>
      <c r="Z589" s="177">
        <v>180</v>
      </c>
    </row>
    <row r="590" spans="14:26" x14ac:dyDescent="0.2">
      <c r="O590" s="198">
        <v>1</v>
      </c>
      <c r="P590" s="201">
        <v>259</v>
      </c>
      <c r="Q590" s="88">
        <v>174</v>
      </c>
      <c r="R590" s="88">
        <v>135</v>
      </c>
      <c r="S590" s="88">
        <v>112</v>
      </c>
      <c r="T590" s="88">
        <v>85</v>
      </c>
      <c r="U590" s="88">
        <v>69</v>
      </c>
      <c r="V590" s="88">
        <v>59</v>
      </c>
      <c r="W590" s="88">
        <v>52</v>
      </c>
      <c r="X590" s="88">
        <v>38</v>
      </c>
      <c r="Y590" s="88">
        <v>30</v>
      </c>
      <c r="Z590" s="179">
        <v>21</v>
      </c>
    </row>
    <row r="591" spans="14:26" x14ac:dyDescent="0.2">
      <c r="O591" s="178">
        <v>0.5</v>
      </c>
      <c r="P591" s="201">
        <v>303</v>
      </c>
      <c r="Q591" s="88">
        <v>208</v>
      </c>
      <c r="R591" s="88">
        <v>163</v>
      </c>
      <c r="S591" s="88">
        <v>137</v>
      </c>
      <c r="T591" s="88">
        <v>106</v>
      </c>
      <c r="U591" s="88">
        <v>87</v>
      </c>
      <c r="V591" s="88">
        <v>75</v>
      </c>
      <c r="W591" s="88">
        <v>66</v>
      </c>
      <c r="X591" s="88">
        <v>48</v>
      </c>
      <c r="Y591" s="88">
        <v>39</v>
      </c>
      <c r="Z591" s="179">
        <v>27</v>
      </c>
    </row>
    <row r="592" spans="14:26" x14ac:dyDescent="0.2">
      <c r="O592" s="178">
        <v>0.2</v>
      </c>
      <c r="P592" s="201">
        <v>360</v>
      </c>
      <c r="Q592" s="88">
        <v>253</v>
      </c>
      <c r="R592" s="88">
        <v>202</v>
      </c>
      <c r="S592" s="88">
        <v>171</v>
      </c>
      <c r="T592" s="88">
        <v>134</v>
      </c>
      <c r="U592" s="88">
        <v>112</v>
      </c>
      <c r="V592" s="88">
        <v>96</v>
      </c>
      <c r="W592" s="88">
        <v>85</v>
      </c>
      <c r="X592" s="88">
        <v>64</v>
      </c>
      <c r="Y592" s="88">
        <v>52</v>
      </c>
      <c r="Z592" s="179">
        <v>38</v>
      </c>
    </row>
    <row r="593" spans="14:26" x14ac:dyDescent="0.2">
      <c r="O593" s="178">
        <v>0.1</v>
      </c>
      <c r="P593" s="201">
        <v>399</v>
      </c>
      <c r="Q593" s="88">
        <v>282</v>
      </c>
      <c r="R593" s="88">
        <v>227</v>
      </c>
      <c r="S593" s="88">
        <v>193</v>
      </c>
      <c r="T593" s="88">
        <v>153</v>
      </c>
      <c r="U593" s="88">
        <v>128</v>
      </c>
      <c r="V593" s="88">
        <v>112</v>
      </c>
      <c r="W593" s="88">
        <v>100</v>
      </c>
      <c r="X593" s="88">
        <v>76</v>
      </c>
      <c r="Y593" s="88">
        <v>62</v>
      </c>
      <c r="Z593" s="179">
        <v>46</v>
      </c>
    </row>
    <row r="594" spans="14:26" x14ac:dyDescent="0.2">
      <c r="O594" s="178">
        <v>0.05</v>
      </c>
      <c r="P594" s="201">
        <v>425</v>
      </c>
      <c r="Q594" s="88">
        <v>302</v>
      </c>
      <c r="R594" s="88">
        <v>244</v>
      </c>
      <c r="S594" s="88">
        <v>209</v>
      </c>
      <c r="T594" s="88">
        <v>168</v>
      </c>
      <c r="U594" s="88">
        <v>143</v>
      </c>
      <c r="V594" s="88">
        <v>126</v>
      </c>
      <c r="W594" s="88">
        <v>112</v>
      </c>
      <c r="X594" s="88">
        <v>87</v>
      </c>
      <c r="Y594" s="88">
        <v>72</v>
      </c>
      <c r="Z594" s="179">
        <v>54</v>
      </c>
    </row>
    <row r="595" spans="14:26" x14ac:dyDescent="0.2">
      <c r="O595" s="178">
        <v>3.3000000000000002E-2</v>
      </c>
      <c r="P595" s="201">
        <v>442</v>
      </c>
      <c r="Q595" s="88">
        <v>317</v>
      </c>
      <c r="R595" s="88">
        <v>257</v>
      </c>
      <c r="S595" s="88">
        <v>221</v>
      </c>
      <c r="T595" s="88">
        <v>177</v>
      </c>
      <c r="U595" s="88">
        <v>151</v>
      </c>
      <c r="V595" s="88">
        <v>133</v>
      </c>
      <c r="W595" s="88">
        <v>119</v>
      </c>
      <c r="X595" s="88">
        <v>92</v>
      </c>
      <c r="Y595" s="88">
        <v>77</v>
      </c>
      <c r="Z595" s="179">
        <v>58</v>
      </c>
    </row>
    <row r="596" spans="14:26" ht="13.5" thickBot="1" x14ac:dyDescent="0.25">
      <c r="O596" s="180">
        <v>0.02</v>
      </c>
      <c r="P596" s="211">
        <v>454</v>
      </c>
      <c r="Q596" s="212">
        <v>332</v>
      </c>
      <c r="R596" s="212">
        <v>273</v>
      </c>
      <c r="S596" s="212">
        <v>235</v>
      </c>
      <c r="T596" s="212">
        <v>189</v>
      </c>
      <c r="U596" s="212">
        <v>162</v>
      </c>
      <c r="V596" s="212">
        <v>141</v>
      </c>
      <c r="W596" s="212">
        <v>127</v>
      </c>
      <c r="X596" s="212">
        <v>98</v>
      </c>
      <c r="Y596" s="212">
        <v>82</v>
      </c>
      <c r="Z596" s="213">
        <v>63</v>
      </c>
    </row>
    <row r="597" spans="14:26" ht="13.5" thickBot="1" x14ac:dyDescent="0.25">
      <c r="O597" s="174">
        <v>0.01</v>
      </c>
      <c r="P597" s="225">
        <f t="shared" ref="P597:V597" si="97">P596*1.05</f>
        <v>476.70000000000005</v>
      </c>
      <c r="Q597" s="217">
        <f t="shared" si="97"/>
        <v>348.6</v>
      </c>
      <c r="R597" s="217">
        <f t="shared" si="97"/>
        <v>286.65000000000003</v>
      </c>
      <c r="S597" s="217">
        <f t="shared" si="97"/>
        <v>246.75</v>
      </c>
      <c r="T597" s="217">
        <f t="shared" si="97"/>
        <v>198.45000000000002</v>
      </c>
      <c r="U597" s="217">
        <f t="shared" si="97"/>
        <v>170.1</v>
      </c>
      <c r="V597" s="217">
        <f t="shared" si="97"/>
        <v>148.05000000000001</v>
      </c>
      <c r="W597" s="217">
        <f>W596*1.06</f>
        <v>134.62</v>
      </c>
      <c r="X597" s="217">
        <f>X596*1.06</f>
        <v>103.88000000000001</v>
      </c>
      <c r="Y597" s="217">
        <f>Y596*1.06</f>
        <v>86.92</v>
      </c>
      <c r="Z597" s="224">
        <f>Z596*1.07</f>
        <v>67.410000000000011</v>
      </c>
    </row>
    <row r="599" spans="14:26" ht="13.5" thickBot="1" x14ac:dyDescent="0.25">
      <c r="N599" s="173">
        <v>55</v>
      </c>
      <c r="O599" s="49" t="s">
        <v>170</v>
      </c>
      <c r="R599" s="197" t="s">
        <v>117</v>
      </c>
    </row>
    <row r="600" spans="14:26" ht="13.5" thickBot="1" x14ac:dyDescent="0.25">
      <c r="O600" s="174" t="s">
        <v>52</v>
      </c>
      <c r="P600" s="175">
        <v>5</v>
      </c>
      <c r="Q600" s="176">
        <v>10</v>
      </c>
      <c r="R600" s="176">
        <v>15</v>
      </c>
      <c r="S600" s="176">
        <v>20</v>
      </c>
      <c r="T600" s="176">
        <v>30</v>
      </c>
      <c r="U600" s="176">
        <v>40</v>
      </c>
      <c r="V600" s="176">
        <v>50</v>
      </c>
      <c r="W600" s="176">
        <v>60</v>
      </c>
      <c r="X600" s="176">
        <v>90</v>
      </c>
      <c r="Y600" s="176">
        <v>120</v>
      </c>
      <c r="Z600" s="177">
        <v>180</v>
      </c>
    </row>
    <row r="601" spans="14:26" x14ac:dyDescent="0.2">
      <c r="O601" s="198">
        <v>1</v>
      </c>
      <c r="P601" s="201">
        <v>228</v>
      </c>
      <c r="Q601" s="88">
        <v>157</v>
      </c>
      <c r="R601" s="88">
        <v>120</v>
      </c>
      <c r="S601" s="88">
        <v>98</v>
      </c>
      <c r="T601" s="88">
        <v>74</v>
      </c>
      <c r="U601" s="88">
        <v>59</v>
      </c>
      <c r="V601" s="88">
        <v>49</v>
      </c>
      <c r="W601" s="88">
        <v>42</v>
      </c>
      <c r="X601" s="88">
        <v>30</v>
      </c>
      <c r="Y601" s="88">
        <v>24</v>
      </c>
      <c r="Z601" s="179">
        <v>17</v>
      </c>
    </row>
    <row r="602" spans="14:26" x14ac:dyDescent="0.2">
      <c r="O602" s="178">
        <v>0.5</v>
      </c>
      <c r="P602" s="201">
        <v>275</v>
      </c>
      <c r="Q602" s="88">
        <v>192</v>
      </c>
      <c r="R602" s="88">
        <v>149</v>
      </c>
      <c r="S602" s="88">
        <v>123</v>
      </c>
      <c r="T602" s="88">
        <v>94</v>
      </c>
      <c r="U602" s="88">
        <v>76</v>
      </c>
      <c r="V602" s="88">
        <v>64</v>
      </c>
      <c r="W602" s="88">
        <v>55</v>
      </c>
      <c r="X602" s="88">
        <v>39</v>
      </c>
      <c r="Y602" s="88">
        <v>30</v>
      </c>
      <c r="Z602" s="179">
        <v>21</v>
      </c>
    </row>
    <row r="603" spans="14:26" x14ac:dyDescent="0.2">
      <c r="O603" s="178">
        <v>0.2</v>
      </c>
      <c r="P603" s="201">
        <v>330</v>
      </c>
      <c r="Q603" s="88">
        <v>237</v>
      </c>
      <c r="R603" s="88">
        <v>185</v>
      </c>
      <c r="S603" s="88">
        <v>155</v>
      </c>
      <c r="T603" s="88">
        <v>120</v>
      </c>
      <c r="U603" s="88">
        <v>98</v>
      </c>
      <c r="V603" s="88">
        <v>84</v>
      </c>
      <c r="W603" s="88">
        <v>72</v>
      </c>
      <c r="X603" s="88">
        <v>50</v>
      </c>
      <c r="Y603" s="88">
        <v>39</v>
      </c>
      <c r="Z603" s="179">
        <v>27</v>
      </c>
    </row>
    <row r="604" spans="14:26" x14ac:dyDescent="0.2">
      <c r="O604" s="178">
        <v>0.1</v>
      </c>
      <c r="P604" s="201">
        <v>363</v>
      </c>
      <c r="Q604" s="88">
        <v>270</v>
      </c>
      <c r="R604" s="88">
        <v>217</v>
      </c>
      <c r="S604" s="88">
        <v>183</v>
      </c>
      <c r="T604" s="88">
        <v>143</v>
      </c>
      <c r="U604" s="88">
        <v>120</v>
      </c>
      <c r="V604" s="88">
        <v>102</v>
      </c>
      <c r="W604" s="88">
        <v>89</v>
      </c>
      <c r="X604" s="88">
        <v>63</v>
      </c>
      <c r="Y604" s="88">
        <v>48</v>
      </c>
      <c r="Z604" s="179">
        <v>34</v>
      </c>
    </row>
    <row r="605" spans="14:26" x14ac:dyDescent="0.2">
      <c r="O605" s="178">
        <v>0.05</v>
      </c>
      <c r="P605" s="201">
        <v>400</v>
      </c>
      <c r="Q605" s="88">
        <v>310</v>
      </c>
      <c r="R605" s="88">
        <v>253</v>
      </c>
      <c r="S605" s="88">
        <v>215</v>
      </c>
      <c r="T605" s="88">
        <v>170</v>
      </c>
      <c r="U605" s="88">
        <v>144</v>
      </c>
      <c r="V605" s="88">
        <v>123</v>
      </c>
      <c r="W605" s="88">
        <v>107</v>
      </c>
      <c r="X605" s="88">
        <v>75</v>
      </c>
      <c r="Y605" s="88">
        <v>57</v>
      </c>
      <c r="Z605" s="179">
        <v>39</v>
      </c>
    </row>
    <row r="606" spans="14:26" x14ac:dyDescent="0.2">
      <c r="O606" s="178">
        <v>3.3000000000000002E-2</v>
      </c>
      <c r="P606" s="201">
        <v>431</v>
      </c>
      <c r="Q606" s="88">
        <v>338</v>
      </c>
      <c r="R606" s="88">
        <v>281</v>
      </c>
      <c r="S606" s="88">
        <v>242</v>
      </c>
      <c r="T606" s="88">
        <v>192</v>
      </c>
      <c r="U606" s="88">
        <v>158</v>
      </c>
      <c r="V606" s="88">
        <v>135</v>
      </c>
      <c r="W606" s="88">
        <v>118</v>
      </c>
      <c r="X606" s="88">
        <v>84</v>
      </c>
      <c r="Y606" s="88">
        <v>65</v>
      </c>
      <c r="Z606" s="179">
        <v>44</v>
      </c>
    </row>
    <row r="607" spans="14:26" x14ac:dyDescent="0.2">
      <c r="O607" s="178">
        <v>0.02</v>
      </c>
      <c r="P607" s="201">
        <v>463</v>
      </c>
      <c r="Q607" s="88">
        <v>362</v>
      </c>
      <c r="R607" s="88">
        <v>302</v>
      </c>
      <c r="S607" s="88">
        <v>262</v>
      </c>
      <c r="T607" s="88">
        <v>205</v>
      </c>
      <c r="U607" s="88">
        <v>170</v>
      </c>
      <c r="V607" s="88">
        <v>146</v>
      </c>
      <c r="W607" s="88">
        <v>127</v>
      </c>
      <c r="X607" s="88">
        <v>93</v>
      </c>
      <c r="Y607" s="88">
        <v>73</v>
      </c>
      <c r="Z607" s="179">
        <v>49</v>
      </c>
    </row>
    <row r="608" spans="14:26" ht="13.5" thickBot="1" x14ac:dyDescent="0.25">
      <c r="O608" s="180">
        <v>0.01</v>
      </c>
      <c r="P608" s="220">
        <v>510</v>
      </c>
      <c r="Q608" s="221">
        <v>415</v>
      </c>
      <c r="R608" s="221">
        <v>342</v>
      </c>
      <c r="S608" s="221">
        <v>293</v>
      </c>
      <c r="T608" s="221">
        <v>232</v>
      </c>
      <c r="U608" s="221">
        <v>192</v>
      </c>
      <c r="V608" s="221">
        <v>165</v>
      </c>
      <c r="W608" s="221">
        <v>145</v>
      </c>
      <c r="X608" s="221">
        <v>107</v>
      </c>
      <c r="Y608" s="221">
        <v>84</v>
      </c>
      <c r="Z608" s="222">
        <v>58</v>
      </c>
    </row>
    <row r="610" spans="14:26" ht="13.5" thickBot="1" x14ac:dyDescent="0.25">
      <c r="N610" s="173">
        <v>56</v>
      </c>
      <c r="O610" s="49" t="s">
        <v>171</v>
      </c>
      <c r="R610" s="197" t="s">
        <v>117</v>
      </c>
    </row>
    <row r="611" spans="14:26" ht="13.5" thickBot="1" x14ac:dyDescent="0.25">
      <c r="O611" s="174" t="s">
        <v>52</v>
      </c>
      <c r="P611" s="175">
        <v>5</v>
      </c>
      <c r="Q611" s="176">
        <v>10</v>
      </c>
      <c r="R611" s="176">
        <v>15</v>
      </c>
      <c r="S611" s="176">
        <v>20</v>
      </c>
      <c r="T611" s="176">
        <v>30</v>
      </c>
      <c r="U611" s="176">
        <v>40</v>
      </c>
      <c r="V611" s="176">
        <v>50</v>
      </c>
      <c r="W611" s="176">
        <v>60</v>
      </c>
      <c r="X611" s="176">
        <v>90</v>
      </c>
      <c r="Y611" s="176">
        <v>120</v>
      </c>
      <c r="Z611" s="177">
        <v>180</v>
      </c>
    </row>
    <row r="612" spans="14:26" x14ac:dyDescent="0.2">
      <c r="O612" s="198">
        <v>1</v>
      </c>
      <c r="P612" s="201">
        <v>280</v>
      </c>
      <c r="Q612" s="88">
        <v>186</v>
      </c>
      <c r="R612" s="88">
        <v>144</v>
      </c>
      <c r="S612" s="88">
        <v>120</v>
      </c>
      <c r="T612" s="88">
        <v>91</v>
      </c>
      <c r="U612" s="88">
        <v>75</v>
      </c>
      <c r="V612" s="88">
        <v>64</v>
      </c>
      <c r="W612" s="88">
        <v>55</v>
      </c>
      <c r="X612" s="88">
        <v>40</v>
      </c>
      <c r="Y612" s="88">
        <v>32</v>
      </c>
      <c r="Z612" s="179">
        <v>22</v>
      </c>
    </row>
    <row r="613" spans="14:26" x14ac:dyDescent="0.2">
      <c r="O613" s="178">
        <v>0.5</v>
      </c>
      <c r="P613" s="201">
        <v>340</v>
      </c>
      <c r="Q613" s="88">
        <v>230</v>
      </c>
      <c r="R613" s="88">
        <v>180</v>
      </c>
      <c r="S613" s="88">
        <v>150</v>
      </c>
      <c r="T613" s="88">
        <v>115</v>
      </c>
      <c r="U613" s="88">
        <v>94</v>
      </c>
      <c r="V613" s="88">
        <v>80</v>
      </c>
      <c r="W613" s="88">
        <v>70</v>
      </c>
      <c r="X613" s="88">
        <v>51</v>
      </c>
      <c r="Y613" s="88">
        <v>41</v>
      </c>
      <c r="Z613" s="179">
        <v>20</v>
      </c>
    </row>
    <row r="614" spans="14:26" x14ac:dyDescent="0.2">
      <c r="O614" s="178">
        <v>0.2</v>
      </c>
      <c r="P614" s="201">
        <v>420</v>
      </c>
      <c r="Q614" s="88">
        <v>293</v>
      </c>
      <c r="R614" s="88">
        <v>232</v>
      </c>
      <c r="S614" s="88">
        <v>195</v>
      </c>
      <c r="T614" s="88">
        <v>151</v>
      </c>
      <c r="U614" s="88">
        <v>124</v>
      </c>
      <c r="V614" s="88">
        <v>106</v>
      </c>
      <c r="W614" s="88">
        <v>93</v>
      </c>
      <c r="X614" s="88">
        <v>69</v>
      </c>
      <c r="Y614" s="88">
        <v>56</v>
      </c>
      <c r="Z614" s="179">
        <v>40</v>
      </c>
    </row>
    <row r="615" spans="14:26" x14ac:dyDescent="0.2">
      <c r="O615" s="178">
        <v>0.1</v>
      </c>
      <c r="P615" s="201">
        <v>473</v>
      </c>
      <c r="Q615" s="88">
        <v>340</v>
      </c>
      <c r="R615" s="88">
        <v>269</v>
      </c>
      <c r="S615" s="88">
        <v>228</v>
      </c>
      <c r="T615" s="88">
        <v>176</v>
      </c>
      <c r="U615" s="88">
        <v>145</v>
      </c>
      <c r="V615" s="88">
        <v>124</v>
      </c>
      <c r="W615" s="88">
        <v>108</v>
      </c>
      <c r="X615" s="88">
        <v>80</v>
      </c>
      <c r="Y615" s="88">
        <v>64</v>
      </c>
      <c r="Z615" s="179">
        <v>46</v>
      </c>
    </row>
    <row r="616" spans="14:26" x14ac:dyDescent="0.2">
      <c r="O616" s="178">
        <v>0.05</v>
      </c>
      <c r="P616" s="201">
        <v>540</v>
      </c>
      <c r="Q616" s="88">
        <v>385</v>
      </c>
      <c r="R616" s="88">
        <v>307</v>
      </c>
      <c r="S616" s="88">
        <v>260</v>
      </c>
      <c r="T616" s="88">
        <v>203</v>
      </c>
      <c r="U616" s="88">
        <v>169</v>
      </c>
      <c r="V616" s="88">
        <v>145</v>
      </c>
      <c r="W616" s="88">
        <v>127</v>
      </c>
      <c r="X616" s="88">
        <v>93</v>
      </c>
      <c r="Y616" s="88">
        <v>75</v>
      </c>
      <c r="Z616" s="179">
        <v>53</v>
      </c>
    </row>
    <row r="617" spans="14:26" ht="13.5" thickBot="1" x14ac:dyDescent="0.25">
      <c r="O617" s="180">
        <v>3.3000000000000002E-2</v>
      </c>
      <c r="P617" s="211">
        <v>570</v>
      </c>
      <c r="Q617" s="212">
        <v>420</v>
      </c>
      <c r="R617" s="212">
        <v>332</v>
      </c>
      <c r="S617" s="212">
        <v>280</v>
      </c>
      <c r="T617" s="212">
        <v>217</v>
      </c>
      <c r="U617" s="212">
        <v>180</v>
      </c>
      <c r="V617" s="212">
        <v>152</v>
      </c>
      <c r="W617" s="212">
        <v>134</v>
      </c>
      <c r="X617" s="212">
        <v>99</v>
      </c>
      <c r="Y617" s="212">
        <v>80</v>
      </c>
      <c r="Z617" s="213">
        <v>57</v>
      </c>
    </row>
    <row r="618" spans="14:26" x14ac:dyDescent="0.2">
      <c r="O618" s="178">
        <v>0.02</v>
      </c>
      <c r="P618" s="226">
        <f>P617*1.04</f>
        <v>592.80000000000007</v>
      </c>
      <c r="Q618" s="205">
        <f>Q617*1.05</f>
        <v>441</v>
      </c>
      <c r="R618" s="205">
        <f t="shared" ref="R618:X618" si="98">R617*1.06</f>
        <v>351.92</v>
      </c>
      <c r="S618" s="205">
        <f t="shared" si="98"/>
        <v>296.8</v>
      </c>
      <c r="T618" s="205">
        <f t="shared" si="98"/>
        <v>230.02</v>
      </c>
      <c r="U618" s="205">
        <f t="shared" si="98"/>
        <v>190.8</v>
      </c>
      <c r="V618" s="205">
        <f t="shared" si="98"/>
        <v>161.12</v>
      </c>
      <c r="W618" s="205">
        <f t="shared" si="98"/>
        <v>142.04000000000002</v>
      </c>
      <c r="X618" s="205">
        <f t="shared" si="98"/>
        <v>104.94000000000001</v>
      </c>
      <c r="Y618" s="205">
        <f>Y617*1.07</f>
        <v>85.600000000000009</v>
      </c>
      <c r="Z618" s="206">
        <f>Z617*1.07</f>
        <v>60.99</v>
      </c>
    </row>
    <row r="619" spans="14:26" ht="13.5" thickBot="1" x14ac:dyDescent="0.25">
      <c r="O619" s="180">
        <v>0.01</v>
      </c>
      <c r="P619" s="228">
        <f>P617*1.09</f>
        <v>621.30000000000007</v>
      </c>
      <c r="Q619" s="208">
        <f>Q617*1.1</f>
        <v>462.00000000000006</v>
      </c>
      <c r="R619" s="208">
        <f>R617*1.11</f>
        <v>368.52000000000004</v>
      </c>
      <c r="S619" s="208">
        <f>S617*1.11</f>
        <v>310.8</v>
      </c>
      <c r="T619" s="208">
        <f>T617*1.11</f>
        <v>240.87000000000003</v>
      </c>
      <c r="U619" s="208">
        <f>U617*1.12</f>
        <v>201.60000000000002</v>
      </c>
      <c r="V619" s="208">
        <f>V617*1.12</f>
        <v>170.24</v>
      </c>
      <c r="W619" s="208">
        <f>W617*1.12</f>
        <v>150.08000000000001</v>
      </c>
      <c r="X619" s="208">
        <f>X617*1.13</f>
        <v>111.86999999999999</v>
      </c>
      <c r="Y619" s="208">
        <f>Y617*1.13</f>
        <v>90.399999999999991</v>
      </c>
      <c r="Z619" s="209">
        <f>Z617*1.14</f>
        <v>64.97999999999999</v>
      </c>
    </row>
    <row r="621" spans="14:26" ht="13.5" thickBot="1" x14ac:dyDescent="0.25">
      <c r="N621" s="173">
        <v>57</v>
      </c>
      <c r="O621" s="49" t="s">
        <v>172</v>
      </c>
      <c r="R621" s="197" t="s">
        <v>117</v>
      </c>
    </row>
    <row r="622" spans="14:26" ht="13.5" thickBot="1" x14ac:dyDescent="0.25">
      <c r="O622" s="174" t="s">
        <v>52</v>
      </c>
      <c r="P622" s="175">
        <v>5</v>
      </c>
      <c r="Q622" s="176">
        <v>10</v>
      </c>
      <c r="R622" s="176">
        <v>15</v>
      </c>
      <c r="S622" s="176">
        <v>20</v>
      </c>
      <c r="T622" s="176">
        <v>30</v>
      </c>
      <c r="U622" s="176">
        <v>40</v>
      </c>
      <c r="V622" s="176">
        <v>50</v>
      </c>
      <c r="W622" s="176">
        <v>60</v>
      </c>
      <c r="X622" s="176">
        <v>90</v>
      </c>
      <c r="Y622" s="176">
        <v>120</v>
      </c>
      <c r="Z622" s="177">
        <v>180</v>
      </c>
    </row>
    <row r="623" spans="14:26" x14ac:dyDescent="0.2">
      <c r="O623" s="198">
        <v>1</v>
      </c>
      <c r="P623" s="201">
        <v>260</v>
      </c>
      <c r="Q623" s="88">
        <v>182</v>
      </c>
      <c r="R623" s="88">
        <v>144</v>
      </c>
      <c r="S623" s="88">
        <v>118</v>
      </c>
      <c r="T623" s="88">
        <v>90</v>
      </c>
      <c r="U623" s="88">
        <v>74</v>
      </c>
      <c r="V623" s="88">
        <v>62</v>
      </c>
      <c r="W623" s="88">
        <v>54</v>
      </c>
      <c r="X623" s="88">
        <v>39</v>
      </c>
      <c r="Y623" s="88">
        <v>31</v>
      </c>
      <c r="Z623" s="179">
        <v>22</v>
      </c>
    </row>
    <row r="624" spans="14:26" x14ac:dyDescent="0.2">
      <c r="O624" s="178">
        <v>0.5</v>
      </c>
      <c r="P624" s="201">
        <v>300</v>
      </c>
      <c r="Q624" s="88">
        <v>211</v>
      </c>
      <c r="R624" s="88">
        <v>169</v>
      </c>
      <c r="S624" s="88">
        <v>143</v>
      </c>
      <c r="T624" s="88">
        <v>113</v>
      </c>
      <c r="U624" s="88">
        <v>91</v>
      </c>
      <c r="V624" s="88">
        <v>78</v>
      </c>
      <c r="W624" s="88">
        <v>67</v>
      </c>
      <c r="X624" s="88">
        <v>48</v>
      </c>
      <c r="Y624" s="88">
        <v>38</v>
      </c>
      <c r="Z624" s="179">
        <v>26</v>
      </c>
    </row>
    <row r="625" spans="14:26" x14ac:dyDescent="0.2">
      <c r="O625" s="178">
        <v>0.2</v>
      </c>
      <c r="P625" s="201">
        <v>368</v>
      </c>
      <c r="Q625" s="88">
        <v>270</v>
      </c>
      <c r="R625" s="88">
        <v>217</v>
      </c>
      <c r="S625" s="88">
        <v>183</v>
      </c>
      <c r="T625" s="88">
        <v>141</v>
      </c>
      <c r="U625" s="88">
        <v>115</v>
      </c>
      <c r="V625" s="88">
        <v>96</v>
      </c>
      <c r="W625" s="88">
        <v>84</v>
      </c>
      <c r="X625" s="88">
        <v>60</v>
      </c>
      <c r="Y625" s="88">
        <v>48</v>
      </c>
      <c r="Z625" s="179">
        <v>33</v>
      </c>
    </row>
    <row r="626" spans="14:26" x14ac:dyDescent="0.2">
      <c r="O626" s="178">
        <v>0.1</v>
      </c>
      <c r="P626" s="201">
        <v>420</v>
      </c>
      <c r="Q626" s="88">
        <v>304</v>
      </c>
      <c r="R626" s="88">
        <v>246</v>
      </c>
      <c r="S626" s="88">
        <v>210</v>
      </c>
      <c r="T626" s="88">
        <v>162</v>
      </c>
      <c r="U626" s="88">
        <v>133</v>
      </c>
      <c r="V626" s="88">
        <v>112</v>
      </c>
      <c r="W626" s="88">
        <v>96</v>
      </c>
      <c r="X626" s="88">
        <v>69</v>
      </c>
      <c r="Y626" s="88">
        <v>54</v>
      </c>
      <c r="Z626" s="179">
        <v>38</v>
      </c>
    </row>
    <row r="627" spans="14:26" x14ac:dyDescent="0.2">
      <c r="O627" s="178">
        <v>0.05</v>
      </c>
      <c r="P627" s="201">
        <v>474</v>
      </c>
      <c r="Q627" s="88">
        <v>339</v>
      </c>
      <c r="R627" s="88">
        <v>271</v>
      </c>
      <c r="S627" s="88">
        <v>230</v>
      </c>
      <c r="T627" s="88">
        <v>179</v>
      </c>
      <c r="U627" s="88">
        <v>147</v>
      </c>
      <c r="V627" s="88">
        <v>124</v>
      </c>
      <c r="W627" s="88">
        <v>108</v>
      </c>
      <c r="X627" s="88">
        <v>78</v>
      </c>
      <c r="Y627" s="88">
        <v>62</v>
      </c>
      <c r="Z627" s="179">
        <v>44</v>
      </c>
    </row>
    <row r="628" spans="14:26" ht="13.5" thickBot="1" x14ac:dyDescent="0.25">
      <c r="O628" s="180">
        <v>3.3000000000000002E-2</v>
      </c>
      <c r="P628" s="211">
        <v>500</v>
      </c>
      <c r="Q628" s="212">
        <v>362</v>
      </c>
      <c r="R628" s="212">
        <v>290</v>
      </c>
      <c r="S628" s="212">
        <v>242</v>
      </c>
      <c r="T628" s="212">
        <v>189</v>
      </c>
      <c r="U628" s="212">
        <v>154</v>
      </c>
      <c r="V628" s="212">
        <v>131</v>
      </c>
      <c r="W628" s="212">
        <v>115</v>
      </c>
      <c r="X628" s="212">
        <v>84</v>
      </c>
      <c r="Y628" s="212">
        <v>67</v>
      </c>
      <c r="Z628" s="213">
        <v>47</v>
      </c>
    </row>
    <row r="629" spans="14:26" x14ac:dyDescent="0.2">
      <c r="O629" s="178">
        <v>0.02</v>
      </c>
      <c r="P629" s="226">
        <f>P628*1.04</f>
        <v>520</v>
      </c>
      <c r="Q629" s="205">
        <f>Q628*1.05</f>
        <v>380.1</v>
      </c>
      <c r="R629" s="205">
        <f t="shared" ref="R629:X629" si="99">R628*1.06</f>
        <v>307.40000000000003</v>
      </c>
      <c r="S629" s="205">
        <f t="shared" si="99"/>
        <v>256.52000000000004</v>
      </c>
      <c r="T629" s="205">
        <f t="shared" si="99"/>
        <v>200.34</v>
      </c>
      <c r="U629" s="205">
        <f t="shared" si="99"/>
        <v>163.24</v>
      </c>
      <c r="V629" s="205">
        <f t="shared" si="99"/>
        <v>138.86000000000001</v>
      </c>
      <c r="W629" s="205">
        <f t="shared" si="99"/>
        <v>121.9</v>
      </c>
      <c r="X629" s="205">
        <f t="shared" si="99"/>
        <v>89.04</v>
      </c>
      <c r="Y629" s="205">
        <f>Y628*1.07</f>
        <v>71.69</v>
      </c>
      <c r="Z629" s="206">
        <f>Z628*1.07</f>
        <v>50.290000000000006</v>
      </c>
    </row>
    <row r="630" spans="14:26" ht="13.5" thickBot="1" x14ac:dyDescent="0.25">
      <c r="O630" s="180">
        <v>0.01</v>
      </c>
      <c r="P630" s="228">
        <f>P628*1.09</f>
        <v>545</v>
      </c>
      <c r="Q630" s="208">
        <f>Q628*1.1</f>
        <v>398.20000000000005</v>
      </c>
      <c r="R630" s="208">
        <f>R628*1.11</f>
        <v>321.90000000000003</v>
      </c>
      <c r="S630" s="208">
        <f>S628*1.11</f>
        <v>268.62</v>
      </c>
      <c r="T630" s="208">
        <f>T628*1.11</f>
        <v>209.79000000000002</v>
      </c>
      <c r="U630" s="208">
        <f>U628*1.12</f>
        <v>172.48000000000002</v>
      </c>
      <c r="V630" s="208">
        <f>V628*1.12</f>
        <v>146.72000000000003</v>
      </c>
      <c r="W630" s="208">
        <f>W628*1.12</f>
        <v>128.80000000000001</v>
      </c>
      <c r="X630" s="208">
        <f>X628*1.13</f>
        <v>94.919999999999987</v>
      </c>
      <c r="Y630" s="208">
        <f>Y628*1.13</f>
        <v>75.709999999999994</v>
      </c>
      <c r="Z630" s="209">
        <f>Z628*1.14</f>
        <v>53.58</v>
      </c>
    </row>
    <row r="632" spans="14:26" ht="13.5" thickBot="1" x14ac:dyDescent="0.25">
      <c r="N632" s="173">
        <v>58</v>
      </c>
      <c r="O632" s="49" t="s">
        <v>173</v>
      </c>
      <c r="R632" s="197" t="s">
        <v>117</v>
      </c>
    </row>
    <row r="633" spans="14:26" ht="13.5" thickBot="1" x14ac:dyDescent="0.25">
      <c r="O633" s="174" t="s">
        <v>52</v>
      </c>
      <c r="P633" s="175">
        <v>5</v>
      </c>
      <c r="Q633" s="176">
        <v>10</v>
      </c>
      <c r="R633" s="176">
        <v>15</v>
      </c>
      <c r="S633" s="176">
        <v>20</v>
      </c>
      <c r="T633" s="176">
        <v>30</v>
      </c>
      <c r="U633" s="176">
        <v>40</v>
      </c>
      <c r="V633" s="176">
        <v>50</v>
      </c>
      <c r="W633" s="176">
        <v>60</v>
      </c>
      <c r="X633" s="176">
        <v>90</v>
      </c>
      <c r="Y633" s="176">
        <v>120</v>
      </c>
      <c r="Z633" s="177">
        <v>180</v>
      </c>
    </row>
    <row r="634" spans="14:26" x14ac:dyDescent="0.2">
      <c r="O634" s="198">
        <v>1</v>
      </c>
      <c r="P634" s="201">
        <v>274</v>
      </c>
      <c r="Q634" s="88">
        <v>183</v>
      </c>
      <c r="R634" s="88">
        <v>142</v>
      </c>
      <c r="S634" s="88">
        <v>117</v>
      </c>
      <c r="T634" s="88">
        <v>88</v>
      </c>
      <c r="U634" s="88">
        <v>70</v>
      </c>
      <c r="V634" s="88">
        <v>57</v>
      </c>
      <c r="W634" s="88">
        <v>49</v>
      </c>
      <c r="X634" s="88">
        <v>34</v>
      </c>
      <c r="Y634" s="88">
        <v>26</v>
      </c>
      <c r="Z634" s="179">
        <v>17</v>
      </c>
    </row>
    <row r="635" spans="14:26" x14ac:dyDescent="0.2">
      <c r="O635" s="178">
        <v>0.5</v>
      </c>
      <c r="P635" s="201">
        <v>348</v>
      </c>
      <c r="Q635" s="88">
        <v>239</v>
      </c>
      <c r="R635" s="88">
        <v>189</v>
      </c>
      <c r="S635" s="88">
        <v>158</v>
      </c>
      <c r="T635" s="88">
        <v>120</v>
      </c>
      <c r="U635" s="88">
        <v>95</v>
      </c>
      <c r="V635" s="88">
        <v>78</v>
      </c>
      <c r="W635" s="88">
        <v>67</v>
      </c>
      <c r="X635" s="88">
        <v>46</v>
      </c>
      <c r="Y635" s="88">
        <v>35</v>
      </c>
      <c r="Z635" s="179">
        <v>24</v>
      </c>
    </row>
    <row r="636" spans="14:26" x14ac:dyDescent="0.2">
      <c r="O636" s="178">
        <v>0.2</v>
      </c>
      <c r="P636" s="201">
        <v>443</v>
      </c>
      <c r="Q636" s="88">
        <v>318</v>
      </c>
      <c r="R636" s="88">
        <v>257</v>
      </c>
      <c r="S636" s="88">
        <v>218</v>
      </c>
      <c r="T636" s="88">
        <v>169</v>
      </c>
      <c r="U636" s="88">
        <v>136</v>
      </c>
      <c r="V636" s="88">
        <v>113</v>
      </c>
      <c r="W636" s="88">
        <v>98</v>
      </c>
      <c r="X636" s="88">
        <v>70</v>
      </c>
      <c r="Y636" s="88">
        <v>55</v>
      </c>
      <c r="Z636" s="179">
        <v>38</v>
      </c>
    </row>
    <row r="637" spans="14:26" x14ac:dyDescent="0.2">
      <c r="O637" s="178">
        <v>0.1</v>
      </c>
      <c r="P637" s="201">
        <v>528</v>
      </c>
      <c r="Q637" s="88">
        <v>382</v>
      </c>
      <c r="R637" s="88">
        <v>310</v>
      </c>
      <c r="S637" s="88">
        <v>262</v>
      </c>
      <c r="T637" s="88">
        <v>202</v>
      </c>
      <c r="U637" s="88">
        <v>167</v>
      </c>
      <c r="V637" s="88">
        <v>142</v>
      </c>
      <c r="W637" s="88">
        <v>125</v>
      </c>
      <c r="X637" s="88">
        <v>92</v>
      </c>
      <c r="Y637" s="88">
        <v>74</v>
      </c>
      <c r="Z637" s="179">
        <v>53</v>
      </c>
    </row>
    <row r="638" spans="14:26" x14ac:dyDescent="0.2">
      <c r="O638" s="178">
        <v>0.05</v>
      </c>
      <c r="P638" s="201">
        <v>595</v>
      </c>
      <c r="Q638" s="88">
        <v>440</v>
      </c>
      <c r="R638" s="88">
        <v>362</v>
      </c>
      <c r="S638" s="88">
        <v>309</v>
      </c>
      <c r="T638" s="88">
        <v>243</v>
      </c>
      <c r="U638" s="88">
        <v>202</v>
      </c>
      <c r="V638" s="88">
        <v>175</v>
      </c>
      <c r="W638" s="88">
        <v>155</v>
      </c>
      <c r="X638" s="88">
        <v>117</v>
      </c>
      <c r="Y638" s="88">
        <v>95</v>
      </c>
      <c r="Z638" s="179">
        <v>70</v>
      </c>
    </row>
    <row r="639" spans="14:26" ht="13.5" thickBot="1" x14ac:dyDescent="0.25">
      <c r="O639" s="180">
        <v>3.3000000000000002E-2</v>
      </c>
      <c r="P639" s="211">
        <v>645</v>
      </c>
      <c r="Q639" s="212">
        <v>473</v>
      </c>
      <c r="R639" s="212">
        <v>391</v>
      </c>
      <c r="S639" s="212">
        <v>338</v>
      </c>
      <c r="T639" s="212">
        <v>269</v>
      </c>
      <c r="U639" s="212">
        <v>228</v>
      </c>
      <c r="V639" s="212">
        <v>198</v>
      </c>
      <c r="W639" s="212">
        <v>176</v>
      </c>
      <c r="X639" s="212">
        <v>135</v>
      </c>
      <c r="Y639" s="212">
        <v>110</v>
      </c>
      <c r="Z639" s="213">
        <v>82</v>
      </c>
    </row>
    <row r="640" spans="14:26" x14ac:dyDescent="0.2">
      <c r="O640" s="178">
        <v>0.02</v>
      </c>
      <c r="P640" s="226">
        <f>P639*1.04</f>
        <v>670.80000000000007</v>
      </c>
      <c r="Q640" s="205">
        <f>Q639*1.05</f>
        <v>496.65000000000003</v>
      </c>
      <c r="R640" s="205">
        <f t="shared" ref="R640:X640" si="100">R639*1.06</f>
        <v>414.46000000000004</v>
      </c>
      <c r="S640" s="205">
        <f t="shared" si="100"/>
        <v>358.28000000000003</v>
      </c>
      <c r="T640" s="205">
        <f t="shared" si="100"/>
        <v>285.14</v>
      </c>
      <c r="U640" s="205">
        <f t="shared" si="100"/>
        <v>241.68</v>
      </c>
      <c r="V640" s="205">
        <f t="shared" si="100"/>
        <v>209.88000000000002</v>
      </c>
      <c r="W640" s="205">
        <f t="shared" si="100"/>
        <v>186.56</v>
      </c>
      <c r="X640" s="205">
        <f t="shared" si="100"/>
        <v>143.1</v>
      </c>
      <c r="Y640" s="205">
        <f>Y639*1.07</f>
        <v>117.7</v>
      </c>
      <c r="Z640" s="206">
        <f>Z639*1.07</f>
        <v>87.740000000000009</v>
      </c>
    </row>
    <row r="641" spans="14:26" ht="13.5" thickBot="1" x14ac:dyDescent="0.25">
      <c r="O641" s="180">
        <v>0.01</v>
      </c>
      <c r="P641" s="228">
        <f>P639*1.09</f>
        <v>703.05000000000007</v>
      </c>
      <c r="Q641" s="208">
        <f>Q639*1.1</f>
        <v>520.30000000000007</v>
      </c>
      <c r="R641" s="208">
        <f>R639*1.11</f>
        <v>434.01000000000005</v>
      </c>
      <c r="S641" s="208">
        <f>S639*1.11</f>
        <v>375.18</v>
      </c>
      <c r="T641" s="208">
        <f>T639*1.11</f>
        <v>298.59000000000003</v>
      </c>
      <c r="U641" s="208">
        <f>U639*1.12</f>
        <v>255.36</v>
      </c>
      <c r="V641" s="208">
        <f>V639*1.12</f>
        <v>221.76000000000002</v>
      </c>
      <c r="W641" s="208">
        <f>W639*1.12</f>
        <v>197.12</v>
      </c>
      <c r="X641" s="208">
        <f>X639*1.13</f>
        <v>152.54999999999998</v>
      </c>
      <c r="Y641" s="208">
        <f>Y639*1.13</f>
        <v>124.29999999999998</v>
      </c>
      <c r="Z641" s="209">
        <f>Z639*1.14</f>
        <v>93.47999999999999</v>
      </c>
    </row>
    <row r="643" spans="14:26" ht="13.5" thickBot="1" x14ac:dyDescent="0.25">
      <c r="N643" s="173">
        <v>59</v>
      </c>
      <c r="O643" s="49" t="s">
        <v>174</v>
      </c>
      <c r="R643" s="197" t="s">
        <v>117</v>
      </c>
    </row>
    <row r="644" spans="14:26" ht="13.5" thickBot="1" x14ac:dyDescent="0.25">
      <c r="O644" s="174" t="s">
        <v>52</v>
      </c>
      <c r="P644" s="175">
        <v>5</v>
      </c>
      <c r="Q644" s="176">
        <v>10</v>
      </c>
      <c r="R644" s="176">
        <v>15</v>
      </c>
      <c r="S644" s="176">
        <v>20</v>
      </c>
      <c r="T644" s="176">
        <v>30</v>
      </c>
      <c r="U644" s="176">
        <v>40</v>
      </c>
      <c r="V644" s="176">
        <v>50</v>
      </c>
      <c r="W644" s="176">
        <v>60</v>
      </c>
      <c r="X644" s="176">
        <v>90</v>
      </c>
      <c r="Y644" s="176">
        <v>120</v>
      </c>
      <c r="Z644" s="177">
        <v>180</v>
      </c>
    </row>
    <row r="645" spans="14:26" x14ac:dyDescent="0.2">
      <c r="O645" s="198">
        <v>1</v>
      </c>
      <c r="P645" s="201">
        <v>253</v>
      </c>
      <c r="Q645" s="88">
        <v>178</v>
      </c>
      <c r="R645" s="88">
        <v>141</v>
      </c>
      <c r="S645" s="88">
        <v>118</v>
      </c>
      <c r="T645" s="88">
        <v>90</v>
      </c>
      <c r="U645" s="88">
        <v>73</v>
      </c>
      <c r="V645" s="88">
        <v>62</v>
      </c>
      <c r="W645" s="88">
        <v>54</v>
      </c>
      <c r="X645" s="88">
        <v>39</v>
      </c>
      <c r="Y645" s="88">
        <v>30</v>
      </c>
      <c r="Z645" s="179">
        <v>21</v>
      </c>
    </row>
    <row r="646" spans="14:26" x14ac:dyDescent="0.2">
      <c r="O646" s="178">
        <v>0.5</v>
      </c>
      <c r="P646" s="201">
        <v>299</v>
      </c>
      <c r="Q646" s="88">
        <v>218</v>
      </c>
      <c r="R646" s="88">
        <v>178</v>
      </c>
      <c r="S646" s="88">
        <v>152</v>
      </c>
      <c r="T646" s="88">
        <v>118</v>
      </c>
      <c r="U646" s="88">
        <v>97</v>
      </c>
      <c r="V646" s="88">
        <v>83</v>
      </c>
      <c r="W646" s="88">
        <v>72</v>
      </c>
      <c r="X646" s="88">
        <v>52</v>
      </c>
      <c r="Y646" s="88">
        <v>41</v>
      </c>
      <c r="Z646" s="179">
        <v>29</v>
      </c>
    </row>
    <row r="647" spans="14:26" x14ac:dyDescent="0.2">
      <c r="O647" s="178">
        <v>0.2</v>
      </c>
      <c r="P647" s="201">
        <v>360</v>
      </c>
      <c r="Q647" s="88">
        <v>270</v>
      </c>
      <c r="R647" s="88">
        <v>224</v>
      </c>
      <c r="S647" s="88">
        <v>196</v>
      </c>
      <c r="T647" s="88">
        <v>157</v>
      </c>
      <c r="U647" s="88">
        <v>133</v>
      </c>
      <c r="V647" s="88">
        <v>113</v>
      </c>
      <c r="W647" s="88">
        <v>100</v>
      </c>
      <c r="X647" s="88">
        <v>73</v>
      </c>
      <c r="Y647" s="88">
        <v>58</v>
      </c>
      <c r="Z647" s="179">
        <v>42</v>
      </c>
    </row>
    <row r="648" spans="14:26" x14ac:dyDescent="0.2">
      <c r="O648" s="178">
        <v>0.1</v>
      </c>
      <c r="P648" s="201">
        <v>410</v>
      </c>
      <c r="Q648" s="88">
        <v>313</v>
      </c>
      <c r="R648" s="88">
        <v>263</v>
      </c>
      <c r="S648" s="88">
        <v>230</v>
      </c>
      <c r="T648" s="88">
        <v>187</v>
      </c>
      <c r="U648" s="88">
        <v>156</v>
      </c>
      <c r="V648" s="88">
        <v>134</v>
      </c>
      <c r="W648" s="88">
        <v>118</v>
      </c>
      <c r="X648" s="88">
        <v>88</v>
      </c>
      <c r="Y648" s="88">
        <v>72</v>
      </c>
      <c r="Z648" s="179">
        <v>52</v>
      </c>
    </row>
    <row r="649" spans="14:26" x14ac:dyDescent="0.2">
      <c r="O649" s="178">
        <v>0.05</v>
      </c>
      <c r="P649" s="201">
        <v>450</v>
      </c>
      <c r="Q649" s="88">
        <v>350</v>
      </c>
      <c r="R649" s="88">
        <v>300</v>
      </c>
      <c r="S649" s="88">
        <v>264</v>
      </c>
      <c r="T649" s="88">
        <v>215</v>
      </c>
      <c r="U649" s="88">
        <v>181</v>
      </c>
      <c r="V649" s="88">
        <v>158</v>
      </c>
      <c r="W649" s="88">
        <v>140</v>
      </c>
      <c r="X649" s="88">
        <v>106</v>
      </c>
      <c r="Y649" s="88">
        <v>86</v>
      </c>
      <c r="Z649" s="179">
        <v>64</v>
      </c>
    </row>
    <row r="650" spans="14:26" ht="13.5" thickBot="1" x14ac:dyDescent="0.25">
      <c r="O650" s="180">
        <v>3.3000000000000002E-2</v>
      </c>
      <c r="P650" s="211">
        <v>471</v>
      </c>
      <c r="Q650" s="212">
        <v>371</v>
      </c>
      <c r="R650" s="212">
        <v>318</v>
      </c>
      <c r="S650" s="212">
        <v>282</v>
      </c>
      <c r="T650" s="212">
        <v>232</v>
      </c>
      <c r="U650" s="212">
        <v>198</v>
      </c>
      <c r="V650" s="212">
        <v>172</v>
      </c>
      <c r="W650" s="212">
        <v>153</v>
      </c>
      <c r="X650" s="212">
        <v>116</v>
      </c>
      <c r="Y650" s="212">
        <v>94</v>
      </c>
      <c r="Z650" s="213">
        <v>70</v>
      </c>
    </row>
    <row r="651" spans="14:26" x14ac:dyDescent="0.2">
      <c r="O651" s="178">
        <v>0.02</v>
      </c>
      <c r="P651" s="226">
        <f>P650*1.04</f>
        <v>489.84000000000003</v>
      </c>
      <c r="Q651" s="205">
        <f>Q650*1.05</f>
        <v>389.55</v>
      </c>
      <c r="R651" s="205">
        <f t="shared" ref="R651:X651" si="101">R650*1.06</f>
        <v>337.08000000000004</v>
      </c>
      <c r="S651" s="205">
        <f t="shared" si="101"/>
        <v>298.92</v>
      </c>
      <c r="T651" s="205">
        <f t="shared" si="101"/>
        <v>245.92000000000002</v>
      </c>
      <c r="U651" s="205">
        <f t="shared" si="101"/>
        <v>209.88000000000002</v>
      </c>
      <c r="V651" s="205">
        <f t="shared" si="101"/>
        <v>182.32000000000002</v>
      </c>
      <c r="W651" s="205">
        <f t="shared" si="101"/>
        <v>162.18</v>
      </c>
      <c r="X651" s="205">
        <f t="shared" si="101"/>
        <v>122.96000000000001</v>
      </c>
      <c r="Y651" s="205">
        <f>Y650*1.07</f>
        <v>100.58000000000001</v>
      </c>
      <c r="Z651" s="206">
        <f>Z650*1.07</f>
        <v>74.900000000000006</v>
      </c>
    </row>
    <row r="652" spans="14:26" ht="13.5" thickBot="1" x14ac:dyDescent="0.25">
      <c r="O652" s="180">
        <v>0.01</v>
      </c>
      <c r="P652" s="228">
        <f>P650*1.09</f>
        <v>513.39</v>
      </c>
      <c r="Q652" s="208">
        <f>Q650*1.1</f>
        <v>408.1</v>
      </c>
      <c r="R652" s="208">
        <f>R650*1.11</f>
        <v>352.98</v>
      </c>
      <c r="S652" s="208">
        <f>S650*1.11</f>
        <v>313.02000000000004</v>
      </c>
      <c r="T652" s="208">
        <f>T650*1.11</f>
        <v>257.52000000000004</v>
      </c>
      <c r="U652" s="208">
        <f>U650*1.12</f>
        <v>221.76000000000002</v>
      </c>
      <c r="V652" s="208">
        <f>V650*1.12</f>
        <v>192.64000000000001</v>
      </c>
      <c r="W652" s="208">
        <f>W650*1.12</f>
        <v>171.36</v>
      </c>
      <c r="X652" s="208">
        <f>X650*1.13</f>
        <v>131.07999999999998</v>
      </c>
      <c r="Y652" s="208">
        <f>Y650*1.13</f>
        <v>106.21999999999998</v>
      </c>
      <c r="Z652" s="209">
        <f>Z650*1.14</f>
        <v>79.8</v>
      </c>
    </row>
    <row r="654" spans="14:26" ht="13.5" thickBot="1" x14ac:dyDescent="0.25">
      <c r="N654" s="173">
        <v>60</v>
      </c>
      <c r="O654" s="49" t="s">
        <v>175</v>
      </c>
      <c r="R654" s="197" t="s">
        <v>117</v>
      </c>
    </row>
    <row r="655" spans="14:26" ht="13.5" thickBot="1" x14ac:dyDescent="0.25">
      <c r="O655" s="174" t="s">
        <v>52</v>
      </c>
      <c r="P655" s="175">
        <v>5</v>
      </c>
      <c r="Q655" s="176">
        <v>10</v>
      </c>
      <c r="R655" s="176">
        <v>15</v>
      </c>
      <c r="S655" s="176">
        <v>20</v>
      </c>
      <c r="T655" s="176">
        <v>30</v>
      </c>
      <c r="U655" s="176">
        <v>40</v>
      </c>
      <c r="V655" s="176">
        <v>50</v>
      </c>
      <c r="W655" s="176">
        <v>60</v>
      </c>
      <c r="X655" s="176">
        <v>90</v>
      </c>
      <c r="Y655" s="176">
        <v>120</v>
      </c>
      <c r="Z655" s="177">
        <v>180</v>
      </c>
    </row>
    <row r="656" spans="14:26" x14ac:dyDescent="0.2">
      <c r="O656" s="198">
        <v>1</v>
      </c>
      <c r="P656" s="201">
        <v>240</v>
      </c>
      <c r="Q656" s="88">
        <v>165</v>
      </c>
      <c r="R656" s="88">
        <v>126</v>
      </c>
      <c r="S656" s="88">
        <v>107</v>
      </c>
      <c r="T656" s="88">
        <v>80</v>
      </c>
      <c r="U656" s="88">
        <v>64</v>
      </c>
      <c r="V656" s="88">
        <v>53</v>
      </c>
      <c r="W656" s="88">
        <v>46</v>
      </c>
      <c r="X656" s="88">
        <v>33</v>
      </c>
      <c r="Y656" s="88">
        <v>25</v>
      </c>
      <c r="Z656" s="179">
        <v>17</v>
      </c>
    </row>
    <row r="657" spans="14:26" x14ac:dyDescent="0.2">
      <c r="O657" s="178">
        <v>0.5</v>
      </c>
      <c r="P657" s="201">
        <v>293</v>
      </c>
      <c r="Q657" s="88">
        <v>202</v>
      </c>
      <c r="R657" s="88">
        <v>160</v>
      </c>
      <c r="S657" s="88">
        <v>132</v>
      </c>
      <c r="T657" s="88">
        <v>100</v>
      </c>
      <c r="U657" s="88">
        <v>82</v>
      </c>
      <c r="V657" s="88">
        <v>69</v>
      </c>
      <c r="W657" s="88">
        <v>60</v>
      </c>
      <c r="X657" s="88">
        <v>43</v>
      </c>
      <c r="Y657" s="88">
        <v>34</v>
      </c>
      <c r="Z657" s="179">
        <v>23</v>
      </c>
    </row>
    <row r="658" spans="14:26" x14ac:dyDescent="0.2">
      <c r="O658" s="178">
        <v>0.2</v>
      </c>
      <c r="P658" s="201">
        <v>362</v>
      </c>
      <c r="Q658" s="88">
        <v>260</v>
      </c>
      <c r="R658" s="88">
        <v>204</v>
      </c>
      <c r="S658" s="88">
        <v>172</v>
      </c>
      <c r="T658" s="88">
        <v>132</v>
      </c>
      <c r="U658" s="88">
        <v>107</v>
      </c>
      <c r="V658" s="88">
        <v>90</v>
      </c>
      <c r="W658" s="88">
        <v>79</v>
      </c>
      <c r="X658" s="88">
        <v>57</v>
      </c>
      <c r="Y658" s="88">
        <v>45</v>
      </c>
      <c r="Z658" s="179">
        <v>32</v>
      </c>
    </row>
    <row r="659" spans="14:26" x14ac:dyDescent="0.2">
      <c r="O659" s="178">
        <v>0.1</v>
      </c>
      <c r="P659" s="201">
        <v>405</v>
      </c>
      <c r="Q659" s="88">
        <v>296</v>
      </c>
      <c r="R659" s="88">
        <v>237</v>
      </c>
      <c r="S659" s="88">
        <v>199</v>
      </c>
      <c r="T659" s="88">
        <v>153</v>
      </c>
      <c r="U659" s="88">
        <v>126</v>
      </c>
      <c r="V659" s="88">
        <v>107</v>
      </c>
      <c r="W659" s="88">
        <v>94</v>
      </c>
      <c r="X659" s="88">
        <v>69</v>
      </c>
      <c r="Y659" s="88">
        <v>55</v>
      </c>
      <c r="Z659" s="179">
        <v>39</v>
      </c>
    </row>
    <row r="660" spans="14:26" x14ac:dyDescent="0.2">
      <c r="O660" s="178">
        <v>0.05</v>
      </c>
      <c r="P660" s="201">
        <v>445</v>
      </c>
      <c r="Q660" s="88">
        <v>329</v>
      </c>
      <c r="R660" s="88">
        <v>265</v>
      </c>
      <c r="S660" s="88">
        <v>225</v>
      </c>
      <c r="T660" s="88">
        <v>174</v>
      </c>
      <c r="U660" s="88">
        <v>144</v>
      </c>
      <c r="V660" s="88">
        <v>124</v>
      </c>
      <c r="W660" s="88">
        <v>108</v>
      </c>
      <c r="X660" s="88">
        <v>80</v>
      </c>
      <c r="Y660" s="88">
        <v>65</v>
      </c>
      <c r="Z660" s="179">
        <v>47</v>
      </c>
    </row>
    <row r="661" spans="14:26" ht="13.5" thickBot="1" x14ac:dyDescent="0.25">
      <c r="O661" s="180">
        <v>3.3000000000000002E-2</v>
      </c>
      <c r="P661" s="211">
        <v>462</v>
      </c>
      <c r="Q661" s="212">
        <v>350</v>
      </c>
      <c r="R661" s="212">
        <v>285</v>
      </c>
      <c r="S661" s="212">
        <v>243</v>
      </c>
      <c r="T661" s="212">
        <v>190</v>
      </c>
      <c r="U661" s="212">
        <v>157</v>
      </c>
      <c r="V661" s="212">
        <v>135</v>
      </c>
      <c r="W661" s="212">
        <v>118</v>
      </c>
      <c r="X661" s="212">
        <v>88</v>
      </c>
      <c r="Y661" s="212">
        <v>71</v>
      </c>
      <c r="Z661" s="213">
        <v>51</v>
      </c>
    </row>
    <row r="662" spans="14:26" x14ac:dyDescent="0.2">
      <c r="O662" s="178">
        <v>0.02</v>
      </c>
      <c r="P662" s="226">
        <f>P661*1.04</f>
        <v>480.48</v>
      </c>
      <c r="Q662" s="205">
        <f>Q661*1.05</f>
        <v>367.5</v>
      </c>
      <c r="R662" s="205">
        <f t="shared" ref="R662:X662" si="102">R661*1.06</f>
        <v>302.10000000000002</v>
      </c>
      <c r="S662" s="205">
        <f t="shared" si="102"/>
        <v>257.58000000000004</v>
      </c>
      <c r="T662" s="205">
        <f t="shared" si="102"/>
        <v>201.4</v>
      </c>
      <c r="U662" s="205">
        <f t="shared" si="102"/>
        <v>166.42000000000002</v>
      </c>
      <c r="V662" s="205">
        <f t="shared" si="102"/>
        <v>143.1</v>
      </c>
      <c r="W662" s="205">
        <f t="shared" si="102"/>
        <v>125.08000000000001</v>
      </c>
      <c r="X662" s="205">
        <f t="shared" si="102"/>
        <v>93.28</v>
      </c>
      <c r="Y662" s="205">
        <f>Y661*1.07</f>
        <v>75.97</v>
      </c>
      <c r="Z662" s="206">
        <f>Z661*1.07</f>
        <v>54.57</v>
      </c>
    </row>
    <row r="663" spans="14:26" ht="13.5" thickBot="1" x14ac:dyDescent="0.25">
      <c r="O663" s="180">
        <v>0.01</v>
      </c>
      <c r="P663" s="228">
        <f>P661*1.09</f>
        <v>503.58000000000004</v>
      </c>
      <c r="Q663" s="208">
        <f>Q661*1.1</f>
        <v>385.00000000000006</v>
      </c>
      <c r="R663" s="208">
        <f>R661*1.11</f>
        <v>316.35000000000002</v>
      </c>
      <c r="S663" s="208">
        <f>S661*1.11</f>
        <v>269.73</v>
      </c>
      <c r="T663" s="208">
        <f>T661*1.11</f>
        <v>210.9</v>
      </c>
      <c r="U663" s="208">
        <f>U661*1.12</f>
        <v>175.84</v>
      </c>
      <c r="V663" s="208">
        <f>V661*1.12</f>
        <v>151.20000000000002</v>
      </c>
      <c r="W663" s="208">
        <f>W661*1.12</f>
        <v>132.16000000000003</v>
      </c>
      <c r="X663" s="208">
        <f>X661*1.13</f>
        <v>99.44</v>
      </c>
      <c r="Y663" s="208">
        <f>Y661*1.13</f>
        <v>80.22999999999999</v>
      </c>
      <c r="Z663" s="209">
        <f>Z661*1.14</f>
        <v>58.139999999999993</v>
      </c>
    </row>
    <row r="665" spans="14:26" ht="13.5" thickBot="1" x14ac:dyDescent="0.25">
      <c r="N665" s="173">
        <v>61</v>
      </c>
      <c r="O665" s="49" t="s">
        <v>176</v>
      </c>
      <c r="R665" s="197" t="s">
        <v>117</v>
      </c>
    </row>
    <row r="666" spans="14:26" ht="13.5" thickBot="1" x14ac:dyDescent="0.25">
      <c r="O666" s="174" t="s">
        <v>52</v>
      </c>
      <c r="P666" s="175">
        <v>5</v>
      </c>
      <c r="Q666" s="176">
        <v>10</v>
      </c>
      <c r="R666" s="176">
        <v>15</v>
      </c>
      <c r="S666" s="176">
        <v>20</v>
      </c>
      <c r="T666" s="176">
        <v>30</v>
      </c>
      <c r="U666" s="176">
        <v>40</v>
      </c>
      <c r="V666" s="176">
        <v>50</v>
      </c>
      <c r="W666" s="176">
        <v>60</v>
      </c>
      <c r="X666" s="176">
        <v>90</v>
      </c>
      <c r="Y666" s="176">
        <v>120</v>
      </c>
      <c r="Z666" s="177">
        <v>180</v>
      </c>
    </row>
    <row r="667" spans="14:26" x14ac:dyDescent="0.2">
      <c r="O667" s="198">
        <v>1</v>
      </c>
      <c r="P667" s="201">
        <v>273</v>
      </c>
      <c r="Q667" s="88">
        <v>184</v>
      </c>
      <c r="R667" s="88">
        <v>140</v>
      </c>
      <c r="S667" s="88">
        <v>114</v>
      </c>
      <c r="T667" s="88">
        <v>84</v>
      </c>
      <c r="U667" s="88">
        <v>67</v>
      </c>
      <c r="V667" s="88">
        <v>55</v>
      </c>
      <c r="W667" s="88">
        <v>48</v>
      </c>
      <c r="X667" s="88">
        <v>33</v>
      </c>
      <c r="Y667" s="88">
        <v>26</v>
      </c>
      <c r="Z667" s="179">
        <v>18</v>
      </c>
    </row>
    <row r="668" spans="14:26" x14ac:dyDescent="0.2">
      <c r="O668" s="178">
        <v>0.5</v>
      </c>
      <c r="P668" s="201">
        <v>334</v>
      </c>
      <c r="Q668" s="88">
        <v>225</v>
      </c>
      <c r="R668" s="88">
        <v>171</v>
      </c>
      <c r="S668" s="88">
        <v>140</v>
      </c>
      <c r="T668" s="88">
        <v>102</v>
      </c>
      <c r="U668" s="88">
        <v>80</v>
      </c>
      <c r="V668" s="88">
        <v>66</v>
      </c>
      <c r="W668" s="88">
        <v>57</v>
      </c>
      <c r="X668" s="88">
        <v>40</v>
      </c>
      <c r="Y668" s="88">
        <v>31</v>
      </c>
      <c r="Z668" s="179">
        <v>21</v>
      </c>
    </row>
    <row r="669" spans="14:26" x14ac:dyDescent="0.2">
      <c r="O669" s="178">
        <v>0.2</v>
      </c>
      <c r="P669" s="201">
        <v>400</v>
      </c>
      <c r="Q669" s="88">
        <v>274</v>
      </c>
      <c r="R669" s="88">
        <v>212</v>
      </c>
      <c r="S669" s="88">
        <v>171</v>
      </c>
      <c r="T669" s="88">
        <v>125</v>
      </c>
      <c r="U669" s="88">
        <v>99</v>
      </c>
      <c r="V669" s="88">
        <v>82</v>
      </c>
      <c r="W669" s="88">
        <v>70</v>
      </c>
      <c r="X669" s="88">
        <v>48</v>
      </c>
      <c r="Y669" s="88">
        <v>37</v>
      </c>
      <c r="Z669" s="179">
        <v>25</v>
      </c>
    </row>
    <row r="670" spans="14:26" x14ac:dyDescent="0.2">
      <c r="O670" s="178">
        <v>0.1</v>
      </c>
      <c r="P670" s="201">
        <v>465</v>
      </c>
      <c r="Q670" s="88">
        <v>319</v>
      </c>
      <c r="R670" s="88">
        <v>243</v>
      </c>
      <c r="S670" s="88">
        <v>197</v>
      </c>
      <c r="T670" s="88">
        <v>144</v>
      </c>
      <c r="U670" s="88">
        <v>115</v>
      </c>
      <c r="V670" s="88">
        <v>94</v>
      </c>
      <c r="W670" s="88">
        <v>80</v>
      </c>
      <c r="X670" s="88">
        <v>54</v>
      </c>
      <c r="Y670" s="88">
        <v>41</v>
      </c>
      <c r="Z670" s="179">
        <v>28</v>
      </c>
    </row>
    <row r="671" spans="14:26" x14ac:dyDescent="0.2">
      <c r="O671" s="178">
        <v>0.05</v>
      </c>
      <c r="P671" s="201">
        <v>520</v>
      </c>
      <c r="Q671" s="88">
        <v>357</v>
      </c>
      <c r="R671" s="88">
        <v>274</v>
      </c>
      <c r="S671" s="88">
        <v>222</v>
      </c>
      <c r="T671" s="88">
        <v>162</v>
      </c>
      <c r="U671" s="88">
        <v>129</v>
      </c>
      <c r="V671" s="88">
        <v>106</v>
      </c>
      <c r="W671" s="88">
        <v>90</v>
      </c>
      <c r="X671" s="88">
        <v>61</v>
      </c>
      <c r="Y671" s="88">
        <v>46</v>
      </c>
      <c r="Z671" s="179">
        <v>31</v>
      </c>
    </row>
    <row r="672" spans="14:26" x14ac:dyDescent="0.2">
      <c r="O672" s="178">
        <v>3.3000000000000002E-2</v>
      </c>
      <c r="P672" s="201">
        <v>560</v>
      </c>
      <c r="Q672" s="88">
        <v>383</v>
      </c>
      <c r="R672" s="88">
        <v>295</v>
      </c>
      <c r="S672" s="88">
        <v>240</v>
      </c>
      <c r="T672" s="88">
        <v>175</v>
      </c>
      <c r="U672" s="88">
        <v>139</v>
      </c>
      <c r="V672" s="88">
        <v>115</v>
      </c>
      <c r="W672" s="88">
        <v>97</v>
      </c>
      <c r="X672" s="88">
        <v>67</v>
      </c>
      <c r="Y672" s="88">
        <v>51</v>
      </c>
      <c r="Z672" s="179">
        <v>34</v>
      </c>
    </row>
    <row r="673" spans="14:26" ht="13.5" thickBot="1" x14ac:dyDescent="0.25">
      <c r="O673" s="180">
        <v>0.02</v>
      </c>
      <c r="P673" s="211">
        <v>600</v>
      </c>
      <c r="Q673" s="212">
        <v>413</v>
      </c>
      <c r="R673" s="212">
        <v>320</v>
      </c>
      <c r="S673" s="212">
        <v>260</v>
      </c>
      <c r="T673" s="212">
        <v>189</v>
      </c>
      <c r="U673" s="212">
        <v>150</v>
      </c>
      <c r="V673" s="212">
        <v>122</v>
      </c>
      <c r="W673" s="212">
        <v>104</v>
      </c>
      <c r="X673" s="212">
        <v>71</v>
      </c>
      <c r="Y673" s="212">
        <v>55</v>
      </c>
      <c r="Z673" s="213">
        <v>37</v>
      </c>
    </row>
    <row r="674" spans="14:26" ht="13.5" thickBot="1" x14ac:dyDescent="0.25">
      <c r="O674" s="180">
        <v>0.01</v>
      </c>
      <c r="P674" s="225">
        <f t="shared" ref="P674:V674" si="103">P673*1.05</f>
        <v>630</v>
      </c>
      <c r="Q674" s="217">
        <f t="shared" si="103"/>
        <v>433.65000000000003</v>
      </c>
      <c r="R674" s="217">
        <f t="shared" si="103"/>
        <v>336</v>
      </c>
      <c r="S674" s="217">
        <f t="shared" si="103"/>
        <v>273</v>
      </c>
      <c r="T674" s="217">
        <f t="shared" si="103"/>
        <v>198.45000000000002</v>
      </c>
      <c r="U674" s="217">
        <f t="shared" si="103"/>
        <v>157.5</v>
      </c>
      <c r="V674" s="217">
        <f t="shared" si="103"/>
        <v>128.1</v>
      </c>
      <c r="W674" s="217">
        <f>W673*1.06</f>
        <v>110.24000000000001</v>
      </c>
      <c r="X674" s="217">
        <f>X673*1.06</f>
        <v>75.260000000000005</v>
      </c>
      <c r="Y674" s="217">
        <f>Y673*1.06</f>
        <v>58.300000000000004</v>
      </c>
      <c r="Z674" s="224">
        <f>Z673*1.07</f>
        <v>39.590000000000003</v>
      </c>
    </row>
    <row r="676" spans="14:26" ht="13.5" thickBot="1" x14ac:dyDescent="0.25">
      <c r="N676" s="173">
        <v>62</v>
      </c>
      <c r="O676" s="49" t="s">
        <v>177</v>
      </c>
      <c r="R676" s="197" t="s">
        <v>117</v>
      </c>
    </row>
    <row r="677" spans="14:26" ht="13.5" thickBot="1" x14ac:dyDescent="0.25">
      <c r="O677" s="174" t="s">
        <v>52</v>
      </c>
      <c r="P677" s="175">
        <v>5</v>
      </c>
      <c r="Q677" s="176">
        <v>10</v>
      </c>
      <c r="R677" s="176">
        <v>15</v>
      </c>
      <c r="S677" s="176">
        <v>20</v>
      </c>
      <c r="T677" s="176">
        <v>30</v>
      </c>
      <c r="U677" s="176">
        <v>40</v>
      </c>
      <c r="V677" s="176">
        <v>50</v>
      </c>
      <c r="W677" s="176">
        <v>60</v>
      </c>
      <c r="X677" s="176">
        <v>90</v>
      </c>
      <c r="Y677" s="176">
        <v>120</v>
      </c>
      <c r="Z677" s="177">
        <v>180</v>
      </c>
    </row>
    <row r="678" spans="14:26" x14ac:dyDescent="0.2">
      <c r="O678" s="198">
        <v>1</v>
      </c>
      <c r="P678" s="201">
        <v>220</v>
      </c>
      <c r="Q678" s="88">
        <v>160</v>
      </c>
      <c r="R678" s="88">
        <v>122</v>
      </c>
      <c r="S678" s="88">
        <v>100</v>
      </c>
      <c r="T678" s="88">
        <v>76</v>
      </c>
      <c r="U678" s="88">
        <v>62</v>
      </c>
      <c r="V678" s="88">
        <v>52</v>
      </c>
      <c r="W678" s="88">
        <v>45</v>
      </c>
      <c r="X678" s="88">
        <v>32</v>
      </c>
      <c r="Y678" s="88">
        <v>25</v>
      </c>
      <c r="Z678" s="179">
        <v>17</v>
      </c>
    </row>
    <row r="679" spans="14:26" x14ac:dyDescent="0.2">
      <c r="O679" s="178">
        <v>0.5</v>
      </c>
      <c r="P679" s="201">
        <v>253</v>
      </c>
      <c r="Q679" s="88">
        <v>184</v>
      </c>
      <c r="R679" s="88">
        <v>143</v>
      </c>
      <c r="S679" s="88">
        <v>118</v>
      </c>
      <c r="T679" s="88">
        <v>89</v>
      </c>
      <c r="U679" s="88">
        <v>72</v>
      </c>
      <c r="V679" s="88">
        <v>60</v>
      </c>
      <c r="W679" s="88">
        <v>52</v>
      </c>
      <c r="X679" s="88">
        <v>38</v>
      </c>
      <c r="Y679" s="88">
        <v>30</v>
      </c>
      <c r="Z679" s="179">
        <v>20</v>
      </c>
    </row>
    <row r="680" spans="14:26" x14ac:dyDescent="0.2">
      <c r="O680" s="178">
        <v>0.2</v>
      </c>
      <c r="P680" s="201">
        <v>291</v>
      </c>
      <c r="Q680" s="88">
        <v>214</v>
      </c>
      <c r="R680" s="88">
        <v>166</v>
      </c>
      <c r="S680" s="88">
        <v>138</v>
      </c>
      <c r="T680" s="88">
        <v>103</v>
      </c>
      <c r="U680" s="88">
        <v>83</v>
      </c>
      <c r="V680" s="88">
        <v>70</v>
      </c>
      <c r="W680" s="88">
        <v>60</v>
      </c>
      <c r="X680" s="88">
        <v>44</v>
      </c>
      <c r="Y680" s="88">
        <v>34</v>
      </c>
      <c r="Z680" s="179">
        <v>24</v>
      </c>
    </row>
    <row r="681" spans="14:26" x14ac:dyDescent="0.2">
      <c r="O681" s="178">
        <v>0.1</v>
      </c>
      <c r="P681" s="201">
        <v>319</v>
      </c>
      <c r="Q681" s="88">
        <v>235</v>
      </c>
      <c r="R681" s="88">
        <v>182</v>
      </c>
      <c r="S681" s="88">
        <v>150</v>
      </c>
      <c r="T681" s="88">
        <v>112</v>
      </c>
      <c r="U681" s="88">
        <v>91</v>
      </c>
      <c r="V681" s="88">
        <v>77</v>
      </c>
      <c r="W681" s="88">
        <v>67</v>
      </c>
      <c r="X681" s="88">
        <v>48</v>
      </c>
      <c r="Y681" s="88">
        <v>38</v>
      </c>
      <c r="Z681" s="179">
        <v>26</v>
      </c>
    </row>
    <row r="682" spans="14:26" ht="13.5" thickBot="1" x14ac:dyDescent="0.25">
      <c r="O682" s="180">
        <v>0.05</v>
      </c>
      <c r="P682" s="201">
        <v>345</v>
      </c>
      <c r="Q682" s="88">
        <v>255</v>
      </c>
      <c r="R682" s="88">
        <v>198</v>
      </c>
      <c r="S682" s="88">
        <v>163</v>
      </c>
      <c r="T682" s="88">
        <v>123</v>
      </c>
      <c r="U682" s="88">
        <v>100</v>
      </c>
      <c r="V682" s="88">
        <v>84</v>
      </c>
      <c r="W682" s="88">
        <v>74</v>
      </c>
      <c r="X682" s="88">
        <v>53</v>
      </c>
      <c r="Y682" s="88">
        <v>42</v>
      </c>
      <c r="Z682" s="179">
        <v>29</v>
      </c>
    </row>
    <row r="683" spans="14:26" x14ac:dyDescent="0.2">
      <c r="O683" s="210">
        <v>3.3000000000000002E-2</v>
      </c>
      <c r="P683" s="226">
        <f>P682*1.08</f>
        <v>372.6</v>
      </c>
      <c r="Q683" s="205">
        <f>Q682*1.07</f>
        <v>272.85000000000002</v>
      </c>
      <c r="R683" s="205">
        <f>R682*1.07</f>
        <v>211.86</v>
      </c>
      <c r="S683" s="205">
        <f>S682*1.07</f>
        <v>174.41</v>
      </c>
      <c r="T683" s="205">
        <f>T682*1.08</f>
        <v>132.84</v>
      </c>
      <c r="U683" s="205">
        <f>U682*1.09</f>
        <v>109.00000000000001</v>
      </c>
      <c r="V683" s="205">
        <f>V682*1.1</f>
        <v>92.4</v>
      </c>
      <c r="W683" s="205">
        <f>W682*1.1</f>
        <v>81.400000000000006</v>
      </c>
      <c r="X683" s="205">
        <f>X682*1.11</f>
        <v>58.830000000000005</v>
      </c>
      <c r="Y683" s="205">
        <f>Y682*1.2</f>
        <v>50.4</v>
      </c>
      <c r="Z683" s="206">
        <f>Z682*1.13</f>
        <v>32.769999999999996</v>
      </c>
    </row>
    <row r="684" spans="14:26" x14ac:dyDescent="0.2">
      <c r="O684" s="210">
        <v>0.02</v>
      </c>
      <c r="P684" s="227">
        <f>P682*1.11</f>
        <v>382.95000000000005</v>
      </c>
      <c r="Q684" s="229">
        <f>Q682*1.11</f>
        <v>283.05</v>
      </c>
      <c r="R684" s="229">
        <f>R682*1.11</f>
        <v>219.78000000000003</v>
      </c>
      <c r="S684" s="229">
        <f>S682*1.11</f>
        <v>180.93</v>
      </c>
      <c r="T684" s="229">
        <f>T682*1.13</f>
        <v>138.98999999999998</v>
      </c>
      <c r="U684" s="229">
        <f>U682*1.13</f>
        <v>112.99999999999999</v>
      </c>
      <c r="V684" s="229">
        <f>V682*1.14</f>
        <v>95.759999999999991</v>
      </c>
      <c r="W684" s="229">
        <f>W682*1.14</f>
        <v>84.36</v>
      </c>
      <c r="X684" s="229">
        <f>X682*1.16</f>
        <v>61.48</v>
      </c>
      <c r="Y684" s="229">
        <f>Y682*1.16</f>
        <v>48.72</v>
      </c>
      <c r="Z684" s="230">
        <f>Z682*1.17</f>
        <v>33.93</v>
      </c>
    </row>
    <row r="685" spans="14:26" ht="13.5" thickBot="1" x14ac:dyDescent="0.25">
      <c r="O685" s="22">
        <v>0.01</v>
      </c>
      <c r="P685" s="228">
        <f>P682*1.17</f>
        <v>403.65</v>
      </c>
      <c r="Q685" s="208">
        <f>Q682*1.18</f>
        <v>300.89999999999998</v>
      </c>
      <c r="R685" s="208">
        <f>R682*1.2</f>
        <v>237.6</v>
      </c>
      <c r="S685" s="208">
        <f>S682*1.19</f>
        <v>193.97</v>
      </c>
      <c r="T685" s="208">
        <f>T682*1.21</f>
        <v>148.82999999999998</v>
      </c>
      <c r="U685" s="208">
        <f>U682*1.22</f>
        <v>122</v>
      </c>
      <c r="V685" s="208">
        <f>V682*1.19</f>
        <v>99.96</v>
      </c>
      <c r="W685" s="208">
        <f>W682*1.19</f>
        <v>88.06</v>
      </c>
      <c r="X685" s="208">
        <f>X682*1.19</f>
        <v>63.07</v>
      </c>
      <c r="Y685" s="208">
        <f>Y682*1.19</f>
        <v>49.98</v>
      </c>
      <c r="Z685" s="209">
        <f>Z682*1.19</f>
        <v>34.51</v>
      </c>
    </row>
    <row r="687" spans="14:26" ht="13.5" thickBot="1" x14ac:dyDescent="0.25">
      <c r="N687" s="173">
        <v>63</v>
      </c>
      <c r="O687" s="49" t="s">
        <v>178</v>
      </c>
      <c r="R687" s="197" t="s">
        <v>117</v>
      </c>
    </row>
    <row r="688" spans="14:26" ht="13.5" thickBot="1" x14ac:dyDescent="0.25">
      <c r="O688" s="174" t="s">
        <v>52</v>
      </c>
      <c r="P688" s="175">
        <v>5</v>
      </c>
      <c r="Q688" s="176">
        <v>10</v>
      </c>
      <c r="R688" s="176">
        <v>15</v>
      </c>
      <c r="S688" s="176">
        <v>20</v>
      </c>
      <c r="T688" s="176">
        <v>30</v>
      </c>
      <c r="U688" s="176">
        <v>40</v>
      </c>
      <c r="V688" s="176">
        <v>50</v>
      </c>
      <c r="W688" s="176">
        <v>60</v>
      </c>
      <c r="X688" s="176">
        <v>90</v>
      </c>
      <c r="Y688" s="176">
        <v>120</v>
      </c>
      <c r="Z688" s="177">
        <v>180</v>
      </c>
    </row>
    <row r="689" spans="14:26" x14ac:dyDescent="0.2">
      <c r="O689" s="198">
        <v>1</v>
      </c>
      <c r="P689" s="201">
        <v>256</v>
      </c>
      <c r="Q689" s="88">
        <v>175</v>
      </c>
      <c r="R689" s="88">
        <v>138</v>
      </c>
      <c r="S689" s="88">
        <v>117</v>
      </c>
      <c r="T689" s="88">
        <v>90</v>
      </c>
      <c r="U689" s="88">
        <v>75</v>
      </c>
      <c r="V689" s="88">
        <v>64</v>
      </c>
      <c r="W689" s="88">
        <v>57</v>
      </c>
      <c r="X689" s="88">
        <v>44</v>
      </c>
      <c r="Y689" s="88">
        <v>36</v>
      </c>
      <c r="Z689" s="179">
        <v>26</v>
      </c>
    </row>
    <row r="690" spans="14:26" x14ac:dyDescent="0.2">
      <c r="O690" s="178">
        <v>0.5</v>
      </c>
      <c r="P690" s="201">
        <v>300</v>
      </c>
      <c r="Q690" s="88">
        <v>210</v>
      </c>
      <c r="R690" s="88">
        <v>168</v>
      </c>
      <c r="S690" s="88">
        <v>142</v>
      </c>
      <c r="T690" s="88">
        <v>111</v>
      </c>
      <c r="U690" s="88">
        <v>92</v>
      </c>
      <c r="V690" s="88">
        <v>80</v>
      </c>
      <c r="W690" s="88">
        <v>70</v>
      </c>
      <c r="X690" s="88">
        <v>53</v>
      </c>
      <c r="Y690" s="88">
        <v>44</v>
      </c>
      <c r="Z690" s="179">
        <v>32</v>
      </c>
    </row>
    <row r="691" spans="14:26" x14ac:dyDescent="0.2">
      <c r="O691" s="178">
        <v>0.2</v>
      </c>
      <c r="P691" s="201">
        <v>362</v>
      </c>
      <c r="Q691" s="88">
        <v>256</v>
      </c>
      <c r="R691" s="88">
        <v>203</v>
      </c>
      <c r="S691" s="88">
        <v>175</v>
      </c>
      <c r="T691" s="88">
        <v>138</v>
      </c>
      <c r="U691" s="88">
        <v>116</v>
      </c>
      <c r="V691" s="88">
        <v>99</v>
      </c>
      <c r="W691" s="88">
        <v>88</v>
      </c>
      <c r="X691" s="88">
        <v>67</v>
      </c>
      <c r="Y691" s="88">
        <v>56</v>
      </c>
      <c r="Z691" s="179">
        <v>41</v>
      </c>
    </row>
    <row r="692" spans="14:26" x14ac:dyDescent="0.2">
      <c r="O692" s="178">
        <v>0.1</v>
      </c>
      <c r="P692" s="201">
        <v>405</v>
      </c>
      <c r="Q692" s="88">
        <v>290</v>
      </c>
      <c r="R692" s="88">
        <v>232</v>
      </c>
      <c r="S692" s="88">
        <v>200</v>
      </c>
      <c r="T692" s="88">
        <v>158</v>
      </c>
      <c r="U692" s="88">
        <v>133</v>
      </c>
      <c r="V692" s="88">
        <v>115</v>
      </c>
      <c r="W692" s="88">
        <v>102</v>
      </c>
      <c r="X692" s="88">
        <v>78</v>
      </c>
      <c r="Y692" s="88">
        <v>64</v>
      </c>
      <c r="Z692" s="179">
        <v>47</v>
      </c>
    </row>
    <row r="693" spans="14:26" x14ac:dyDescent="0.2">
      <c r="O693" s="178">
        <v>0.05</v>
      </c>
      <c r="P693" s="201">
        <v>450</v>
      </c>
      <c r="Q693" s="88">
        <v>323</v>
      </c>
      <c r="R693" s="88">
        <v>262</v>
      </c>
      <c r="S693" s="88">
        <v>223</v>
      </c>
      <c r="T693" s="88">
        <v>176</v>
      </c>
      <c r="U693" s="88">
        <v>148</v>
      </c>
      <c r="V693" s="88">
        <v>128</v>
      </c>
      <c r="W693" s="88">
        <v>113</v>
      </c>
      <c r="X693" s="88">
        <v>86</v>
      </c>
      <c r="Y693" s="88">
        <v>72</v>
      </c>
      <c r="Z693" s="179">
        <v>53</v>
      </c>
    </row>
    <row r="694" spans="14:26" ht="13.5" thickBot="1" x14ac:dyDescent="0.25">
      <c r="O694" s="180">
        <v>3.3000000000000002E-2</v>
      </c>
      <c r="P694" s="211">
        <v>470</v>
      </c>
      <c r="Q694" s="212">
        <v>339</v>
      </c>
      <c r="R694" s="212">
        <v>275</v>
      </c>
      <c r="S694" s="212">
        <v>234</v>
      </c>
      <c r="T694" s="212">
        <v>187</v>
      </c>
      <c r="U694" s="212">
        <v>157</v>
      </c>
      <c r="V694" s="212">
        <v>136</v>
      </c>
      <c r="W694" s="212">
        <v>121</v>
      </c>
      <c r="X694" s="212">
        <v>92</v>
      </c>
      <c r="Y694" s="212">
        <v>76</v>
      </c>
      <c r="Z694" s="213">
        <v>56</v>
      </c>
    </row>
    <row r="695" spans="14:26" x14ac:dyDescent="0.2">
      <c r="O695" s="178">
        <v>0.02</v>
      </c>
      <c r="P695" s="226">
        <f>P694*1.04</f>
        <v>488.8</v>
      </c>
      <c r="Q695" s="205">
        <f>Q694*1.05</f>
        <v>355.95</v>
      </c>
      <c r="R695" s="205">
        <f t="shared" ref="R695:X695" si="104">R694*1.06</f>
        <v>291.5</v>
      </c>
      <c r="S695" s="205">
        <f t="shared" si="104"/>
        <v>248.04000000000002</v>
      </c>
      <c r="T695" s="205">
        <f t="shared" si="104"/>
        <v>198.22</v>
      </c>
      <c r="U695" s="205">
        <f t="shared" si="104"/>
        <v>166.42000000000002</v>
      </c>
      <c r="V695" s="205">
        <f t="shared" si="104"/>
        <v>144.16</v>
      </c>
      <c r="W695" s="205">
        <f t="shared" si="104"/>
        <v>128.26000000000002</v>
      </c>
      <c r="X695" s="205">
        <f t="shared" si="104"/>
        <v>97.52000000000001</v>
      </c>
      <c r="Y695" s="205">
        <f>Y694*1.07</f>
        <v>81.320000000000007</v>
      </c>
      <c r="Z695" s="206">
        <f>Z694*1.07</f>
        <v>59.92</v>
      </c>
    </row>
    <row r="696" spans="14:26" ht="13.5" thickBot="1" x14ac:dyDescent="0.25">
      <c r="O696" s="180">
        <v>0.01</v>
      </c>
      <c r="P696" s="228">
        <f>P694*1.09</f>
        <v>512.30000000000007</v>
      </c>
      <c r="Q696" s="208">
        <f>Q694*1.1</f>
        <v>372.90000000000003</v>
      </c>
      <c r="R696" s="208">
        <f>R694*1.11</f>
        <v>305.25</v>
      </c>
      <c r="S696" s="208">
        <f>S694*1.11</f>
        <v>259.74</v>
      </c>
      <c r="T696" s="208">
        <f>T694*1.11</f>
        <v>207.57000000000002</v>
      </c>
      <c r="U696" s="208">
        <f>U694*1.12</f>
        <v>175.84</v>
      </c>
      <c r="V696" s="208">
        <f>V694*1.12</f>
        <v>152.32000000000002</v>
      </c>
      <c r="W696" s="208">
        <f>W694*1.12</f>
        <v>135.52000000000001</v>
      </c>
      <c r="X696" s="208">
        <f>X694*1.13</f>
        <v>103.96</v>
      </c>
      <c r="Y696" s="208">
        <f>Y694*1.13</f>
        <v>85.88</v>
      </c>
      <c r="Z696" s="209">
        <f>Z694*1.14</f>
        <v>63.839999999999996</v>
      </c>
    </row>
    <row r="698" spans="14:26" ht="13.5" thickBot="1" x14ac:dyDescent="0.25">
      <c r="N698" s="173">
        <v>64</v>
      </c>
      <c r="O698" s="49" t="s">
        <v>179</v>
      </c>
      <c r="R698" s="197" t="s">
        <v>117</v>
      </c>
    </row>
    <row r="699" spans="14:26" ht="13.5" thickBot="1" x14ac:dyDescent="0.25">
      <c r="O699" s="174" t="s">
        <v>52</v>
      </c>
      <c r="P699" s="175">
        <v>5</v>
      </c>
      <c r="Q699" s="176">
        <v>10</v>
      </c>
      <c r="R699" s="176">
        <v>15</v>
      </c>
      <c r="S699" s="176">
        <v>20</v>
      </c>
      <c r="T699" s="176">
        <v>30</v>
      </c>
      <c r="U699" s="176">
        <v>40</v>
      </c>
      <c r="V699" s="176">
        <v>50</v>
      </c>
      <c r="W699" s="176">
        <v>60</v>
      </c>
      <c r="X699" s="176">
        <v>90</v>
      </c>
      <c r="Y699" s="176">
        <v>120</v>
      </c>
      <c r="Z699" s="177">
        <v>180</v>
      </c>
    </row>
    <row r="700" spans="14:26" x14ac:dyDescent="0.2">
      <c r="O700" s="198">
        <v>1</v>
      </c>
      <c r="P700" s="201">
        <v>300</v>
      </c>
      <c r="Q700" s="88">
        <v>192</v>
      </c>
      <c r="R700" s="88">
        <v>146</v>
      </c>
      <c r="S700" s="88">
        <v>119</v>
      </c>
      <c r="T700" s="88">
        <v>88</v>
      </c>
      <c r="U700" s="88">
        <v>70</v>
      </c>
      <c r="V700" s="88">
        <v>59</v>
      </c>
      <c r="W700" s="88">
        <v>51</v>
      </c>
      <c r="X700" s="88">
        <v>36</v>
      </c>
      <c r="Y700" s="88">
        <v>28</v>
      </c>
      <c r="Z700" s="179">
        <v>20</v>
      </c>
    </row>
    <row r="701" spans="14:26" x14ac:dyDescent="0.2">
      <c r="O701" s="178">
        <v>0.5</v>
      </c>
      <c r="P701" s="201">
        <v>362</v>
      </c>
      <c r="Q701" s="88">
        <v>232</v>
      </c>
      <c r="R701" s="88">
        <v>176</v>
      </c>
      <c r="S701" s="88">
        <v>143</v>
      </c>
      <c r="T701" s="88">
        <v>107</v>
      </c>
      <c r="U701" s="88">
        <v>85</v>
      </c>
      <c r="V701" s="88">
        <v>71</v>
      </c>
      <c r="W701" s="88">
        <v>61</v>
      </c>
      <c r="X701" s="88">
        <v>44</v>
      </c>
      <c r="Y701" s="88">
        <v>34</v>
      </c>
      <c r="Z701" s="179">
        <v>24</v>
      </c>
    </row>
    <row r="702" spans="14:26" x14ac:dyDescent="0.2">
      <c r="O702" s="178">
        <v>0.2</v>
      </c>
      <c r="P702" s="201">
        <v>442</v>
      </c>
      <c r="Q702" s="88">
        <v>290</v>
      </c>
      <c r="R702" s="88">
        <v>222</v>
      </c>
      <c r="S702" s="88">
        <v>181</v>
      </c>
      <c r="T702" s="88">
        <v>134</v>
      </c>
      <c r="U702" s="88">
        <v>108</v>
      </c>
      <c r="V702" s="88">
        <v>89</v>
      </c>
      <c r="W702" s="88">
        <v>77</v>
      </c>
      <c r="X702" s="88">
        <v>54</v>
      </c>
      <c r="Y702" s="88">
        <v>42</v>
      </c>
      <c r="Z702" s="179">
        <v>29</v>
      </c>
    </row>
    <row r="703" spans="14:26" x14ac:dyDescent="0.2">
      <c r="O703" s="178">
        <v>0.1</v>
      </c>
      <c r="P703" s="201">
        <v>492</v>
      </c>
      <c r="Q703" s="88">
        <v>330</v>
      </c>
      <c r="R703" s="88">
        <v>253</v>
      </c>
      <c r="S703" s="88">
        <v>207</v>
      </c>
      <c r="T703" s="88">
        <v>154</v>
      </c>
      <c r="U703" s="88">
        <v>123</v>
      </c>
      <c r="V703" s="88">
        <v>103</v>
      </c>
      <c r="W703" s="88">
        <v>88</v>
      </c>
      <c r="X703" s="88">
        <v>62</v>
      </c>
      <c r="Y703" s="88">
        <v>48</v>
      </c>
      <c r="Z703" s="179">
        <v>33</v>
      </c>
    </row>
    <row r="704" spans="14:26" x14ac:dyDescent="0.2">
      <c r="O704" s="178">
        <v>0.05</v>
      </c>
      <c r="P704" s="201">
        <v>535</v>
      </c>
      <c r="Q704" s="88">
        <v>359</v>
      </c>
      <c r="R704" s="88">
        <v>275</v>
      </c>
      <c r="S704" s="88">
        <v>227</v>
      </c>
      <c r="T704" s="88">
        <v>168</v>
      </c>
      <c r="U704" s="88">
        <v>135</v>
      </c>
      <c r="V704" s="88">
        <v>112</v>
      </c>
      <c r="W704" s="88">
        <v>96</v>
      </c>
      <c r="X704" s="88">
        <v>68</v>
      </c>
      <c r="Y704" s="88">
        <v>53</v>
      </c>
      <c r="Z704" s="179">
        <v>36</v>
      </c>
    </row>
    <row r="705" spans="14:26" x14ac:dyDescent="0.2">
      <c r="O705" s="178">
        <v>3.3000000000000002E-2</v>
      </c>
      <c r="P705" s="201">
        <v>563</v>
      </c>
      <c r="Q705" s="88">
        <v>377</v>
      </c>
      <c r="R705" s="88">
        <v>290</v>
      </c>
      <c r="S705" s="88">
        <v>238</v>
      </c>
      <c r="T705" s="88">
        <v>178</v>
      </c>
      <c r="U705" s="88">
        <v>142</v>
      </c>
      <c r="V705" s="88">
        <v>119</v>
      </c>
      <c r="W705" s="88">
        <v>102</v>
      </c>
      <c r="X705" s="88">
        <v>72</v>
      </c>
      <c r="Y705" s="88">
        <v>56</v>
      </c>
      <c r="Z705" s="179">
        <v>39</v>
      </c>
    </row>
    <row r="706" spans="14:26" x14ac:dyDescent="0.2">
      <c r="O706" s="178">
        <v>0.02</v>
      </c>
      <c r="P706" s="201">
        <v>586</v>
      </c>
      <c r="Q706" s="88">
        <v>392</v>
      </c>
      <c r="R706" s="88">
        <v>301</v>
      </c>
      <c r="S706" s="88">
        <v>249</v>
      </c>
      <c r="T706" s="88">
        <v>186</v>
      </c>
      <c r="U706" s="88">
        <v>149</v>
      </c>
      <c r="V706" s="88">
        <v>125</v>
      </c>
      <c r="W706" s="88">
        <v>107</v>
      </c>
      <c r="X706" s="88">
        <v>76</v>
      </c>
      <c r="Y706" s="88">
        <v>59</v>
      </c>
      <c r="Z706" s="179">
        <v>41</v>
      </c>
    </row>
    <row r="707" spans="14:26" ht="13.5" thickBot="1" x14ac:dyDescent="0.25">
      <c r="O707" s="180">
        <v>0.01</v>
      </c>
      <c r="P707" s="220">
        <v>600</v>
      </c>
      <c r="Q707" s="221">
        <v>405</v>
      </c>
      <c r="R707" s="221">
        <v>313</v>
      </c>
      <c r="S707" s="221">
        <v>258</v>
      </c>
      <c r="T707" s="221">
        <v>193</v>
      </c>
      <c r="U707" s="221">
        <v>155</v>
      </c>
      <c r="V707" s="221">
        <v>130</v>
      </c>
      <c r="W707" s="221">
        <v>112</v>
      </c>
      <c r="X707" s="221">
        <v>79</v>
      </c>
      <c r="Y707" s="221">
        <v>62</v>
      </c>
      <c r="Z707" s="222">
        <v>43</v>
      </c>
    </row>
    <row r="709" spans="14:26" ht="13.5" thickBot="1" x14ac:dyDescent="0.25">
      <c r="N709" s="173">
        <v>65</v>
      </c>
      <c r="O709" s="49" t="s">
        <v>180</v>
      </c>
      <c r="R709" s="197" t="s">
        <v>117</v>
      </c>
    </row>
    <row r="710" spans="14:26" ht="13.5" thickBot="1" x14ac:dyDescent="0.25">
      <c r="O710" s="174" t="s">
        <v>52</v>
      </c>
      <c r="P710" s="175">
        <v>5</v>
      </c>
      <c r="Q710" s="176">
        <v>10</v>
      </c>
      <c r="R710" s="176">
        <v>15</v>
      </c>
      <c r="S710" s="176">
        <v>20</v>
      </c>
      <c r="T710" s="176">
        <v>30</v>
      </c>
      <c r="U710" s="176">
        <v>40</v>
      </c>
      <c r="V710" s="176">
        <v>50</v>
      </c>
      <c r="W710" s="176">
        <v>60</v>
      </c>
      <c r="X710" s="176">
        <v>90</v>
      </c>
      <c r="Y710" s="176">
        <v>120</v>
      </c>
      <c r="Z710" s="177">
        <v>180</v>
      </c>
    </row>
    <row r="711" spans="14:26" x14ac:dyDescent="0.2">
      <c r="O711" s="198">
        <v>1</v>
      </c>
      <c r="P711" s="201">
        <v>219</v>
      </c>
      <c r="Q711" s="88">
        <v>152</v>
      </c>
      <c r="R711" s="88">
        <v>121</v>
      </c>
      <c r="S711" s="88">
        <v>101</v>
      </c>
      <c r="T711" s="88">
        <v>78</v>
      </c>
      <c r="U711" s="88">
        <v>64</v>
      </c>
      <c r="V711" s="88">
        <v>54</v>
      </c>
      <c r="W711" s="88">
        <v>47</v>
      </c>
      <c r="X711" s="88">
        <v>35</v>
      </c>
      <c r="Y711" s="88">
        <v>27</v>
      </c>
      <c r="Z711" s="179">
        <v>18</v>
      </c>
    </row>
    <row r="712" spans="14:26" x14ac:dyDescent="0.2">
      <c r="O712" s="178">
        <v>0.5</v>
      </c>
      <c r="P712" s="201">
        <v>265</v>
      </c>
      <c r="Q712" s="88">
        <v>183</v>
      </c>
      <c r="R712" s="88">
        <v>146</v>
      </c>
      <c r="S712" s="88">
        <v>122</v>
      </c>
      <c r="T712" s="88">
        <v>94</v>
      </c>
      <c r="U712" s="88">
        <v>78</v>
      </c>
      <c r="V712" s="88">
        <v>67</v>
      </c>
      <c r="W712" s="88">
        <v>59</v>
      </c>
      <c r="X712" s="88">
        <v>43</v>
      </c>
      <c r="Y712" s="88">
        <v>35</v>
      </c>
      <c r="Z712" s="179">
        <v>24</v>
      </c>
    </row>
    <row r="713" spans="14:26" x14ac:dyDescent="0.2">
      <c r="O713" s="178">
        <v>0.2</v>
      </c>
      <c r="P713" s="201">
        <v>330</v>
      </c>
      <c r="Q713" s="88">
        <v>231</v>
      </c>
      <c r="R713" s="88">
        <v>183</v>
      </c>
      <c r="S713" s="88">
        <v>155</v>
      </c>
      <c r="T713" s="88">
        <v>121</v>
      </c>
      <c r="U713" s="88">
        <v>100</v>
      </c>
      <c r="V713" s="88">
        <v>85</v>
      </c>
      <c r="W713" s="88">
        <v>75</v>
      </c>
      <c r="X713" s="88">
        <v>56</v>
      </c>
      <c r="Y713" s="88">
        <v>45</v>
      </c>
      <c r="Z713" s="179">
        <v>33</v>
      </c>
    </row>
    <row r="714" spans="14:26" x14ac:dyDescent="0.2">
      <c r="O714" s="178">
        <v>0.1</v>
      </c>
      <c r="P714" s="201">
        <v>374</v>
      </c>
      <c r="Q714" s="88">
        <v>265</v>
      </c>
      <c r="R714" s="88">
        <v>212</v>
      </c>
      <c r="S714" s="88">
        <v>180</v>
      </c>
      <c r="T714" s="88">
        <v>141</v>
      </c>
      <c r="U714" s="88">
        <v>117</v>
      </c>
      <c r="V714" s="88">
        <v>100</v>
      </c>
      <c r="W714" s="88">
        <v>88</v>
      </c>
      <c r="X714" s="88">
        <v>66</v>
      </c>
      <c r="Y714" s="88">
        <v>54</v>
      </c>
      <c r="Z714" s="179">
        <v>39</v>
      </c>
    </row>
    <row r="715" spans="14:26" x14ac:dyDescent="0.2">
      <c r="O715" s="178">
        <v>0.05</v>
      </c>
      <c r="P715" s="201">
        <v>418</v>
      </c>
      <c r="Q715" s="88">
        <v>297</v>
      </c>
      <c r="R715" s="88">
        <v>238</v>
      </c>
      <c r="S715" s="88">
        <v>202</v>
      </c>
      <c r="T715" s="88">
        <v>158</v>
      </c>
      <c r="U715" s="88">
        <v>132</v>
      </c>
      <c r="V715" s="88">
        <v>113</v>
      </c>
      <c r="W715" s="88">
        <v>100</v>
      </c>
      <c r="X715" s="88">
        <v>76</v>
      </c>
      <c r="Y715" s="88">
        <v>61</v>
      </c>
      <c r="Z715" s="179">
        <v>45</v>
      </c>
    </row>
    <row r="716" spans="14:26" ht="13.5" thickBot="1" x14ac:dyDescent="0.25">
      <c r="O716" s="180">
        <v>3.3000000000000002E-2</v>
      </c>
      <c r="P716" s="211">
        <v>450</v>
      </c>
      <c r="Q716" s="212">
        <v>321</v>
      </c>
      <c r="R716" s="212">
        <v>258</v>
      </c>
      <c r="S716" s="212">
        <v>219</v>
      </c>
      <c r="T716" s="212">
        <v>172</v>
      </c>
      <c r="U716" s="212">
        <v>142</v>
      </c>
      <c r="V716" s="212">
        <v>123</v>
      </c>
      <c r="W716" s="212">
        <v>108</v>
      </c>
      <c r="X716" s="212">
        <v>80</v>
      </c>
      <c r="Y716" s="212">
        <v>66</v>
      </c>
      <c r="Z716" s="213">
        <v>48</v>
      </c>
    </row>
    <row r="717" spans="14:26" x14ac:dyDescent="0.2">
      <c r="O717" s="178">
        <v>0.02</v>
      </c>
      <c r="P717" s="226">
        <f>P716*1.04</f>
        <v>468</v>
      </c>
      <c r="Q717" s="205">
        <f>Q716*1.05</f>
        <v>337.05</v>
      </c>
      <c r="R717" s="205">
        <f t="shared" ref="R717:X717" si="105">R716*1.06</f>
        <v>273.48</v>
      </c>
      <c r="S717" s="205">
        <f t="shared" si="105"/>
        <v>232.14000000000001</v>
      </c>
      <c r="T717" s="205">
        <f t="shared" si="105"/>
        <v>182.32000000000002</v>
      </c>
      <c r="U717" s="205">
        <f t="shared" si="105"/>
        <v>150.52000000000001</v>
      </c>
      <c r="V717" s="205">
        <f t="shared" si="105"/>
        <v>130.38</v>
      </c>
      <c r="W717" s="205">
        <f t="shared" si="105"/>
        <v>114.48</v>
      </c>
      <c r="X717" s="205">
        <f t="shared" si="105"/>
        <v>84.800000000000011</v>
      </c>
      <c r="Y717" s="205">
        <f>Y716*1.07</f>
        <v>70.62</v>
      </c>
      <c r="Z717" s="206">
        <f>Z716*1.07</f>
        <v>51.36</v>
      </c>
    </row>
    <row r="718" spans="14:26" ht="13.5" thickBot="1" x14ac:dyDescent="0.25">
      <c r="O718" s="180">
        <v>0.01</v>
      </c>
      <c r="P718" s="228">
        <f>P716*1.09</f>
        <v>490.50000000000006</v>
      </c>
      <c r="Q718" s="231">
        <f>Q716*1.1</f>
        <v>353.1</v>
      </c>
      <c r="R718" s="231">
        <f>R716*1.11</f>
        <v>286.38000000000005</v>
      </c>
      <c r="S718" s="231">
        <f>S716*1.11</f>
        <v>243.09000000000003</v>
      </c>
      <c r="T718" s="231">
        <f>T716*1.11</f>
        <v>190.92000000000002</v>
      </c>
      <c r="U718" s="231">
        <f>U716*1.12</f>
        <v>159.04000000000002</v>
      </c>
      <c r="V718" s="231">
        <f>V716*1.12</f>
        <v>137.76000000000002</v>
      </c>
      <c r="W718" s="231">
        <f>W716*1.12</f>
        <v>120.96000000000001</v>
      </c>
      <c r="X718" s="231">
        <f>X716*1.13</f>
        <v>90.399999999999991</v>
      </c>
      <c r="Y718" s="231">
        <f>Y716*1.13</f>
        <v>74.58</v>
      </c>
      <c r="Z718" s="232">
        <f>Z716*1.14</f>
        <v>54.72</v>
      </c>
    </row>
    <row r="720" spans="14:26" ht="13.5" thickBot="1" x14ac:dyDescent="0.25">
      <c r="N720" s="173">
        <v>66</v>
      </c>
      <c r="O720" s="49" t="s">
        <v>181</v>
      </c>
      <c r="R720" s="197" t="s">
        <v>117</v>
      </c>
    </row>
    <row r="721" spans="14:26" ht="13.5" thickBot="1" x14ac:dyDescent="0.25">
      <c r="O721" s="174" t="s">
        <v>52</v>
      </c>
      <c r="P721" s="175">
        <v>5</v>
      </c>
      <c r="Q721" s="176">
        <v>10</v>
      </c>
      <c r="R721" s="176">
        <v>15</v>
      </c>
      <c r="S721" s="176">
        <v>20</v>
      </c>
      <c r="T721" s="176">
        <v>30</v>
      </c>
      <c r="U721" s="176">
        <v>40</v>
      </c>
      <c r="V721" s="176">
        <v>50</v>
      </c>
      <c r="W721" s="176">
        <v>60</v>
      </c>
      <c r="X721" s="176">
        <v>90</v>
      </c>
      <c r="Y721" s="176">
        <v>120</v>
      </c>
      <c r="Z721" s="177">
        <v>180</v>
      </c>
    </row>
    <row r="722" spans="14:26" x14ac:dyDescent="0.2">
      <c r="O722" s="198">
        <v>1</v>
      </c>
      <c r="P722" s="201">
        <v>310</v>
      </c>
      <c r="Q722" s="88">
        <v>195</v>
      </c>
      <c r="R722" s="88">
        <v>147</v>
      </c>
      <c r="S722" s="88">
        <v>120</v>
      </c>
      <c r="T722" s="88">
        <v>87</v>
      </c>
      <c r="U722" s="88">
        <v>70</v>
      </c>
      <c r="V722" s="88">
        <v>57</v>
      </c>
      <c r="W722" s="88">
        <v>49</v>
      </c>
      <c r="X722" s="88">
        <v>34</v>
      </c>
      <c r="Y722" s="88">
        <v>26</v>
      </c>
      <c r="Z722" s="179">
        <v>18</v>
      </c>
    </row>
    <row r="723" spans="14:26" x14ac:dyDescent="0.2">
      <c r="O723" s="178">
        <v>0.5</v>
      </c>
      <c r="P723" s="201">
        <v>373</v>
      </c>
      <c r="Q723" s="88">
        <v>241</v>
      </c>
      <c r="R723" s="88">
        <v>182</v>
      </c>
      <c r="S723" s="88">
        <v>148</v>
      </c>
      <c r="T723" s="88">
        <v>109</v>
      </c>
      <c r="U723" s="88">
        <v>87</v>
      </c>
      <c r="V723" s="88">
        <v>72</v>
      </c>
      <c r="W723" s="88">
        <v>62</v>
      </c>
      <c r="X723" s="88">
        <v>44</v>
      </c>
      <c r="Y723" s="88">
        <v>33</v>
      </c>
      <c r="Z723" s="179">
        <v>23</v>
      </c>
    </row>
    <row r="724" spans="14:26" x14ac:dyDescent="0.2">
      <c r="O724" s="178">
        <v>0.2</v>
      </c>
      <c r="P724" s="201">
        <v>445</v>
      </c>
      <c r="Q724" s="88">
        <v>298</v>
      </c>
      <c r="R724" s="88">
        <v>229</v>
      </c>
      <c r="S724" s="88">
        <v>187</v>
      </c>
      <c r="T724" s="88">
        <v>140</v>
      </c>
      <c r="U724" s="88">
        <v>113</v>
      </c>
      <c r="V724" s="88">
        <v>94</v>
      </c>
      <c r="W724" s="88">
        <v>81</v>
      </c>
      <c r="X724" s="88">
        <v>57</v>
      </c>
      <c r="Y724" s="88">
        <v>45</v>
      </c>
      <c r="Z724" s="179">
        <v>31</v>
      </c>
    </row>
    <row r="725" spans="14:26" x14ac:dyDescent="0.2">
      <c r="O725" s="178">
        <v>0.1</v>
      </c>
      <c r="P725" s="201">
        <v>495</v>
      </c>
      <c r="Q725" s="88">
        <v>334</v>
      </c>
      <c r="R725" s="88">
        <v>260</v>
      </c>
      <c r="S725" s="88">
        <v>213</v>
      </c>
      <c r="T725" s="88">
        <v>161</v>
      </c>
      <c r="U725" s="88">
        <v>131</v>
      </c>
      <c r="V725" s="88">
        <v>110</v>
      </c>
      <c r="W725" s="88">
        <v>95</v>
      </c>
      <c r="X725" s="88">
        <v>69</v>
      </c>
      <c r="Y725" s="88">
        <v>54</v>
      </c>
      <c r="Z725" s="179">
        <v>17</v>
      </c>
    </row>
    <row r="726" spans="14:26" x14ac:dyDescent="0.2">
      <c r="O726" s="178">
        <v>0.05</v>
      </c>
      <c r="P726" s="201">
        <v>545</v>
      </c>
      <c r="Q726" s="88">
        <v>372</v>
      </c>
      <c r="R726" s="88">
        <v>290</v>
      </c>
      <c r="S726" s="88">
        <v>240</v>
      </c>
      <c r="T726" s="88">
        <v>182</v>
      </c>
      <c r="U726" s="88">
        <v>149</v>
      </c>
      <c r="V726" s="88">
        <v>126</v>
      </c>
      <c r="W726" s="88">
        <v>110</v>
      </c>
      <c r="X726" s="88">
        <v>79</v>
      </c>
      <c r="Y726" s="88">
        <v>62</v>
      </c>
      <c r="Z726" s="179">
        <v>44</v>
      </c>
    </row>
    <row r="727" spans="14:26" ht="13.5" thickBot="1" x14ac:dyDescent="0.25">
      <c r="O727" s="180">
        <v>3.3000000000000002E-2</v>
      </c>
      <c r="P727" s="211">
        <v>590</v>
      </c>
      <c r="Q727" s="212">
        <v>403</v>
      </c>
      <c r="R727" s="212">
        <v>317</v>
      </c>
      <c r="S727" s="212">
        <v>263</v>
      </c>
      <c r="T727" s="212">
        <v>200</v>
      </c>
      <c r="U727" s="212">
        <v>164</v>
      </c>
      <c r="V727" s="212">
        <v>140</v>
      </c>
      <c r="W727" s="212">
        <v>122</v>
      </c>
      <c r="X727" s="212">
        <v>88</v>
      </c>
      <c r="Y727" s="212">
        <v>70</v>
      </c>
      <c r="Z727" s="213">
        <v>50</v>
      </c>
    </row>
    <row r="728" spans="14:26" x14ac:dyDescent="0.2">
      <c r="O728" s="178">
        <v>0.02</v>
      </c>
      <c r="P728" s="226">
        <f>P727*1.04</f>
        <v>613.6</v>
      </c>
      <c r="Q728" s="205">
        <f>Q727*1.05</f>
        <v>423.15000000000003</v>
      </c>
      <c r="R728" s="205">
        <f t="shared" ref="R728:X728" si="106">R727*1.06</f>
        <v>336.02000000000004</v>
      </c>
      <c r="S728" s="205">
        <f t="shared" si="106"/>
        <v>278.78000000000003</v>
      </c>
      <c r="T728" s="205">
        <f t="shared" si="106"/>
        <v>212</v>
      </c>
      <c r="U728" s="205">
        <f t="shared" si="106"/>
        <v>173.84</v>
      </c>
      <c r="V728" s="205">
        <f t="shared" si="106"/>
        <v>148.4</v>
      </c>
      <c r="W728" s="205">
        <f t="shared" si="106"/>
        <v>129.32</v>
      </c>
      <c r="X728" s="205">
        <f t="shared" si="106"/>
        <v>93.28</v>
      </c>
      <c r="Y728" s="205">
        <f>Y727*1.07</f>
        <v>74.900000000000006</v>
      </c>
      <c r="Z728" s="206">
        <f>Z727*1.07</f>
        <v>53.5</v>
      </c>
    </row>
    <row r="729" spans="14:26" ht="13.5" thickBot="1" x14ac:dyDescent="0.25">
      <c r="O729" s="180">
        <v>0.01</v>
      </c>
      <c r="P729" s="228">
        <f>P727*1.09</f>
        <v>643.1</v>
      </c>
      <c r="Q729" s="231">
        <f>Q727*1.1</f>
        <v>443.3</v>
      </c>
      <c r="R729" s="231">
        <f>R727*1.11</f>
        <v>351.87</v>
      </c>
      <c r="S729" s="231">
        <f>S727*1.11</f>
        <v>291.93</v>
      </c>
      <c r="T729" s="231">
        <f>T727*1.11</f>
        <v>222.00000000000003</v>
      </c>
      <c r="U729" s="231">
        <f>U727*1.12</f>
        <v>183.68</v>
      </c>
      <c r="V729" s="231">
        <f>V727*1.12</f>
        <v>156.80000000000001</v>
      </c>
      <c r="W729" s="231">
        <f>W727*1.12</f>
        <v>136.64000000000001</v>
      </c>
      <c r="X729" s="231">
        <f>X727*1.13</f>
        <v>99.44</v>
      </c>
      <c r="Y729" s="231">
        <f>Y727*1.13</f>
        <v>79.099999999999994</v>
      </c>
      <c r="Z729" s="232">
        <f>Z727*1.14</f>
        <v>56.999999999999993</v>
      </c>
    </row>
    <row r="731" spans="14:26" ht="13.5" thickBot="1" x14ac:dyDescent="0.25">
      <c r="N731" s="173">
        <v>67</v>
      </c>
      <c r="O731" s="49" t="s">
        <v>182</v>
      </c>
      <c r="R731" s="197" t="s">
        <v>117</v>
      </c>
    </row>
    <row r="732" spans="14:26" ht="13.5" thickBot="1" x14ac:dyDescent="0.25">
      <c r="O732" s="174" t="s">
        <v>52</v>
      </c>
      <c r="P732" s="175">
        <v>5</v>
      </c>
      <c r="Q732" s="176">
        <v>10</v>
      </c>
      <c r="R732" s="176">
        <v>15</v>
      </c>
      <c r="S732" s="176">
        <v>20</v>
      </c>
      <c r="T732" s="176">
        <v>30</v>
      </c>
      <c r="U732" s="176">
        <v>40</v>
      </c>
      <c r="V732" s="176">
        <v>50</v>
      </c>
      <c r="W732" s="176">
        <v>60</v>
      </c>
      <c r="X732" s="176">
        <v>90</v>
      </c>
      <c r="Y732" s="176">
        <v>120</v>
      </c>
      <c r="Z732" s="177">
        <v>180</v>
      </c>
    </row>
    <row r="733" spans="14:26" x14ac:dyDescent="0.2">
      <c r="O733" s="198">
        <v>1</v>
      </c>
      <c r="P733" s="201">
        <v>250</v>
      </c>
      <c r="Q733" s="88">
        <v>169</v>
      </c>
      <c r="R733" s="88">
        <v>132</v>
      </c>
      <c r="S733" s="88">
        <v>111</v>
      </c>
      <c r="T733" s="88">
        <v>84</v>
      </c>
      <c r="U733" s="88">
        <v>69</v>
      </c>
      <c r="V733" s="88">
        <v>58</v>
      </c>
      <c r="W733" s="88">
        <v>50</v>
      </c>
      <c r="X733" s="88">
        <v>37</v>
      </c>
      <c r="Y733" s="88">
        <v>29</v>
      </c>
      <c r="Z733" s="179">
        <v>20</v>
      </c>
    </row>
    <row r="734" spans="14:26" x14ac:dyDescent="0.2">
      <c r="O734" s="178">
        <v>0.5</v>
      </c>
      <c r="P734" s="201">
        <v>300</v>
      </c>
      <c r="Q734" s="88">
        <v>213</v>
      </c>
      <c r="R734" s="88">
        <v>168</v>
      </c>
      <c r="S734" s="88">
        <v>141</v>
      </c>
      <c r="T734" s="88">
        <v>108</v>
      </c>
      <c r="U734" s="88">
        <v>88</v>
      </c>
      <c r="V734" s="88">
        <v>75</v>
      </c>
      <c r="W734" s="88">
        <v>65</v>
      </c>
      <c r="X734" s="88">
        <v>47</v>
      </c>
      <c r="Y734" s="88">
        <v>38</v>
      </c>
      <c r="Z734" s="179">
        <v>27</v>
      </c>
    </row>
    <row r="735" spans="14:26" x14ac:dyDescent="0.2">
      <c r="O735" s="178">
        <v>0.2</v>
      </c>
      <c r="P735" s="201">
        <v>360</v>
      </c>
      <c r="Q735" s="88">
        <v>267</v>
      </c>
      <c r="R735" s="88">
        <v>215</v>
      </c>
      <c r="S735" s="88">
        <v>182</v>
      </c>
      <c r="T735" s="88">
        <v>141</v>
      </c>
      <c r="U735" s="88">
        <v>117</v>
      </c>
      <c r="V735" s="88">
        <v>99</v>
      </c>
      <c r="W735" s="88">
        <v>87</v>
      </c>
      <c r="X735" s="88">
        <v>64</v>
      </c>
      <c r="Y735" s="88">
        <v>52</v>
      </c>
      <c r="Z735" s="179">
        <v>37</v>
      </c>
    </row>
    <row r="736" spans="14:26" x14ac:dyDescent="0.2">
      <c r="O736" s="178">
        <v>0.1</v>
      </c>
      <c r="P736" s="201">
        <v>408</v>
      </c>
      <c r="Q736" s="88">
        <v>304</v>
      </c>
      <c r="R736" s="88">
        <v>249</v>
      </c>
      <c r="S736" s="88">
        <v>212</v>
      </c>
      <c r="T736" s="88">
        <v>165</v>
      </c>
      <c r="U736" s="88">
        <v>137</v>
      </c>
      <c r="V736" s="88">
        <v>117</v>
      </c>
      <c r="W736" s="88">
        <v>103</v>
      </c>
      <c r="X736" s="88">
        <v>77</v>
      </c>
      <c r="Y736" s="88">
        <v>62</v>
      </c>
      <c r="Z736" s="179">
        <v>45</v>
      </c>
    </row>
    <row r="737" spans="14:26" x14ac:dyDescent="0.2">
      <c r="O737" s="178">
        <v>0.05</v>
      </c>
      <c r="P737" s="201">
        <v>450</v>
      </c>
      <c r="Q737" s="88">
        <v>340</v>
      </c>
      <c r="R737" s="88">
        <v>278</v>
      </c>
      <c r="S737" s="88">
        <v>237</v>
      </c>
      <c r="T737" s="88">
        <v>187</v>
      </c>
      <c r="U737" s="88">
        <v>156</v>
      </c>
      <c r="V737" s="88">
        <v>134</v>
      </c>
      <c r="W737" s="88">
        <v>118</v>
      </c>
      <c r="X737" s="88">
        <v>89</v>
      </c>
      <c r="Y737" s="88">
        <v>72</v>
      </c>
      <c r="Z737" s="179">
        <v>52</v>
      </c>
    </row>
    <row r="738" spans="14:26" x14ac:dyDescent="0.2">
      <c r="O738" s="178">
        <v>3.3000000000000002E-2</v>
      </c>
      <c r="P738" s="201">
        <v>479</v>
      </c>
      <c r="Q738" s="88">
        <v>359</v>
      </c>
      <c r="R738" s="88">
        <v>293</v>
      </c>
      <c r="S738" s="88">
        <v>251</v>
      </c>
      <c r="T738" s="88">
        <v>198</v>
      </c>
      <c r="U738" s="88">
        <v>166</v>
      </c>
      <c r="V738" s="88">
        <v>143</v>
      </c>
      <c r="W738" s="88">
        <v>127</v>
      </c>
      <c r="X738" s="88">
        <v>96</v>
      </c>
      <c r="Y738" s="88">
        <v>78</v>
      </c>
      <c r="Z738" s="179">
        <v>58</v>
      </c>
    </row>
    <row r="739" spans="14:26" x14ac:dyDescent="0.2">
      <c r="O739" s="178">
        <v>0.02</v>
      </c>
      <c r="P739" s="201">
        <v>494</v>
      </c>
      <c r="Q739" s="88">
        <v>380</v>
      </c>
      <c r="R739" s="88">
        <v>312</v>
      </c>
      <c r="S739" s="88">
        <v>269</v>
      </c>
      <c r="T739" s="88">
        <v>213</v>
      </c>
      <c r="U739" s="88">
        <v>179</v>
      </c>
      <c r="V739" s="88">
        <v>154</v>
      </c>
      <c r="W739" s="88">
        <v>137</v>
      </c>
      <c r="X739" s="88">
        <v>103</v>
      </c>
      <c r="Y739" s="88">
        <v>84</v>
      </c>
      <c r="Z739" s="179">
        <v>62</v>
      </c>
    </row>
    <row r="740" spans="14:26" ht="13.5" thickBot="1" x14ac:dyDescent="0.25">
      <c r="O740" s="180">
        <v>0.01</v>
      </c>
      <c r="P740" s="211">
        <v>519</v>
      </c>
      <c r="Q740" s="212">
        <v>397</v>
      </c>
      <c r="R740" s="212">
        <v>327</v>
      </c>
      <c r="S740" s="212">
        <v>282</v>
      </c>
      <c r="T740" s="212">
        <v>224</v>
      </c>
      <c r="U740" s="212">
        <v>189</v>
      </c>
      <c r="V740" s="212">
        <v>164</v>
      </c>
      <c r="W740" s="212">
        <v>146</v>
      </c>
      <c r="X740" s="212">
        <v>112</v>
      </c>
      <c r="Y740" s="212">
        <v>91</v>
      </c>
      <c r="Z740" s="213">
        <v>68</v>
      </c>
    </row>
    <row r="742" spans="14:26" ht="13.5" thickBot="1" x14ac:dyDescent="0.25">
      <c r="N742" s="173">
        <v>68</v>
      </c>
      <c r="O742" s="49" t="s">
        <v>183</v>
      </c>
      <c r="R742" s="197" t="s">
        <v>117</v>
      </c>
    </row>
    <row r="743" spans="14:26" ht="13.5" thickBot="1" x14ac:dyDescent="0.25">
      <c r="O743" s="174" t="s">
        <v>52</v>
      </c>
      <c r="P743" s="175">
        <v>5</v>
      </c>
      <c r="Q743" s="176">
        <v>10</v>
      </c>
      <c r="R743" s="176">
        <v>15</v>
      </c>
      <c r="S743" s="176">
        <v>20</v>
      </c>
      <c r="T743" s="176">
        <v>30</v>
      </c>
      <c r="U743" s="176">
        <v>40</v>
      </c>
      <c r="V743" s="176">
        <v>50</v>
      </c>
      <c r="W743" s="176">
        <v>60</v>
      </c>
      <c r="X743" s="176">
        <v>90</v>
      </c>
      <c r="Y743" s="176">
        <v>120</v>
      </c>
      <c r="Z743" s="177">
        <v>180</v>
      </c>
    </row>
    <row r="744" spans="14:26" x14ac:dyDescent="0.2">
      <c r="O744" s="198">
        <v>1</v>
      </c>
      <c r="P744" s="201">
        <v>238</v>
      </c>
      <c r="Q744" s="88">
        <v>166</v>
      </c>
      <c r="R744" s="88">
        <v>131</v>
      </c>
      <c r="S744" s="88">
        <v>108</v>
      </c>
      <c r="T744" s="88">
        <v>82</v>
      </c>
      <c r="U744" s="88">
        <v>66</v>
      </c>
      <c r="V744" s="88">
        <v>56</v>
      </c>
      <c r="W744" s="88">
        <v>48</v>
      </c>
      <c r="X744" s="88">
        <v>35</v>
      </c>
      <c r="Y744" s="88">
        <v>27</v>
      </c>
      <c r="Z744" s="179">
        <v>19</v>
      </c>
    </row>
    <row r="745" spans="14:26" x14ac:dyDescent="0.2">
      <c r="O745" s="178">
        <v>0.5</v>
      </c>
      <c r="P745" s="201">
        <v>280</v>
      </c>
      <c r="Q745" s="88">
        <v>200</v>
      </c>
      <c r="R745" s="88">
        <v>160</v>
      </c>
      <c r="S745" s="88">
        <v>134</v>
      </c>
      <c r="T745" s="88">
        <v>103</v>
      </c>
      <c r="U745" s="88">
        <v>85</v>
      </c>
      <c r="V745" s="88">
        <v>72</v>
      </c>
      <c r="W745" s="88">
        <v>63</v>
      </c>
      <c r="X745" s="88">
        <v>46</v>
      </c>
      <c r="Y745" s="88">
        <v>37</v>
      </c>
      <c r="Z745" s="179">
        <v>26</v>
      </c>
    </row>
    <row r="746" spans="14:26" x14ac:dyDescent="0.2">
      <c r="O746" s="178">
        <v>0.2</v>
      </c>
      <c r="P746" s="201">
        <v>330</v>
      </c>
      <c r="Q746" s="88">
        <v>243</v>
      </c>
      <c r="R746" s="88">
        <v>197</v>
      </c>
      <c r="S746" s="88">
        <v>167</v>
      </c>
      <c r="T746" s="88">
        <v>132</v>
      </c>
      <c r="U746" s="88">
        <v>109</v>
      </c>
      <c r="V746" s="88">
        <v>94</v>
      </c>
      <c r="W746" s="88">
        <v>83</v>
      </c>
      <c r="X746" s="88">
        <v>62</v>
      </c>
      <c r="Y746" s="88">
        <v>50</v>
      </c>
      <c r="Z746" s="179">
        <v>36</v>
      </c>
    </row>
    <row r="747" spans="14:26" x14ac:dyDescent="0.2">
      <c r="O747" s="178">
        <v>0.1</v>
      </c>
      <c r="P747" s="201">
        <v>370</v>
      </c>
      <c r="Q747" s="88">
        <v>279</v>
      </c>
      <c r="R747" s="88">
        <v>229</v>
      </c>
      <c r="S747" s="88">
        <v>195</v>
      </c>
      <c r="T747" s="88">
        <v>155</v>
      </c>
      <c r="U747" s="88">
        <v>130</v>
      </c>
      <c r="V747" s="88">
        <v>112</v>
      </c>
      <c r="W747" s="88">
        <v>100</v>
      </c>
      <c r="X747" s="88">
        <v>76</v>
      </c>
      <c r="Y747" s="88">
        <v>61</v>
      </c>
      <c r="Z747" s="179">
        <v>44</v>
      </c>
    </row>
    <row r="748" spans="14:26" x14ac:dyDescent="0.2">
      <c r="O748" s="178">
        <v>0.05</v>
      </c>
      <c r="P748" s="201">
        <v>416</v>
      </c>
      <c r="Q748" s="88">
        <v>309</v>
      </c>
      <c r="R748" s="88">
        <v>252</v>
      </c>
      <c r="S748" s="88">
        <v>219</v>
      </c>
      <c r="T748" s="88">
        <v>175</v>
      </c>
      <c r="U748" s="88">
        <v>148</v>
      </c>
      <c r="V748" s="88">
        <v>128</v>
      </c>
      <c r="W748" s="88">
        <v>113</v>
      </c>
      <c r="X748" s="88">
        <v>85</v>
      </c>
      <c r="Y748" s="88">
        <v>70</v>
      </c>
      <c r="Z748" s="179">
        <v>50</v>
      </c>
    </row>
    <row r="749" spans="14:26" ht="13.5" thickBot="1" x14ac:dyDescent="0.25">
      <c r="O749" s="180">
        <v>3.3000000000000002E-2</v>
      </c>
      <c r="P749" s="211">
        <v>452</v>
      </c>
      <c r="Q749" s="212">
        <v>345</v>
      </c>
      <c r="R749" s="212">
        <v>282</v>
      </c>
      <c r="S749" s="212">
        <v>243</v>
      </c>
      <c r="T749" s="212">
        <v>193</v>
      </c>
      <c r="U749" s="212">
        <v>162</v>
      </c>
      <c r="V749" s="212">
        <v>142</v>
      </c>
      <c r="W749" s="212">
        <v>126</v>
      </c>
      <c r="X749" s="212">
        <v>95</v>
      </c>
      <c r="Y749" s="212">
        <v>78</v>
      </c>
      <c r="Z749" s="213">
        <v>56</v>
      </c>
    </row>
    <row r="750" spans="14:26" x14ac:dyDescent="0.2">
      <c r="O750" s="178">
        <v>0.02</v>
      </c>
      <c r="P750" s="226">
        <f>P749*1.04</f>
        <v>470.08000000000004</v>
      </c>
      <c r="Q750" s="205">
        <f>Q749*1.05</f>
        <v>362.25</v>
      </c>
      <c r="R750" s="205">
        <f t="shared" ref="R750:X750" si="107">R749*1.06</f>
        <v>298.92</v>
      </c>
      <c r="S750" s="205">
        <f t="shared" si="107"/>
        <v>257.58000000000004</v>
      </c>
      <c r="T750" s="205">
        <f t="shared" si="107"/>
        <v>204.58</v>
      </c>
      <c r="U750" s="205">
        <f t="shared" si="107"/>
        <v>171.72</v>
      </c>
      <c r="V750" s="205">
        <f t="shared" si="107"/>
        <v>150.52000000000001</v>
      </c>
      <c r="W750" s="205">
        <f t="shared" si="107"/>
        <v>133.56</v>
      </c>
      <c r="X750" s="205">
        <f t="shared" si="107"/>
        <v>100.7</v>
      </c>
      <c r="Y750" s="205">
        <f>Y749*1.07</f>
        <v>83.460000000000008</v>
      </c>
      <c r="Z750" s="206">
        <f>Z749*1.07</f>
        <v>59.92</v>
      </c>
    </row>
    <row r="751" spans="14:26" ht="13.5" thickBot="1" x14ac:dyDescent="0.25">
      <c r="O751" s="180">
        <v>0.01</v>
      </c>
      <c r="P751" s="228">
        <f>P749*1.09</f>
        <v>492.68000000000006</v>
      </c>
      <c r="Q751" s="231">
        <f>Q749*1.1</f>
        <v>379.50000000000006</v>
      </c>
      <c r="R751" s="231">
        <f>R749*1.11</f>
        <v>313.02000000000004</v>
      </c>
      <c r="S751" s="231">
        <f>S749*1.11</f>
        <v>269.73</v>
      </c>
      <c r="T751" s="231">
        <f>T749*1.11</f>
        <v>214.23000000000002</v>
      </c>
      <c r="U751" s="231">
        <f>U749*1.12</f>
        <v>181.44000000000003</v>
      </c>
      <c r="V751" s="231">
        <f>V749*1.12</f>
        <v>159.04000000000002</v>
      </c>
      <c r="W751" s="231">
        <f>W749*1.12</f>
        <v>141.12</v>
      </c>
      <c r="X751" s="231">
        <f>X749*1.13</f>
        <v>107.35</v>
      </c>
      <c r="Y751" s="231">
        <f>Y749*1.13</f>
        <v>88.139999999999986</v>
      </c>
      <c r="Z751" s="232">
        <f>Z749*1.14</f>
        <v>63.839999999999996</v>
      </c>
    </row>
  </sheetData>
  <customSheetViews>
    <customSheetView guid="{951B81EE-4F73-49C3-86F4-B36C01E7586C}" scale="90" showPageBreaks="1" printArea="1" state="hidden" view="pageBreakPreview">
      <selection activeCell="A53" sqref="A53:L96"/>
      <rowBreaks count="3" manualBreakCount="3">
        <brk id="96" max="11" man="1"/>
        <brk id="196" max="11" man="1"/>
        <brk id="202" max="11" man="1"/>
      </rowBreaks>
      <pageMargins left="0.75" right="0.75" top="1" bottom="1" header="0.4921259845" footer="0.4921259845"/>
      <pageSetup paperSize="9" scale="54"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4921259845" footer="0.4921259845"/>
  <pageSetup paperSize="9" scale="54" orientation="portrait" horizontalDpi="300" verticalDpi="300" r:id="rId2"/>
  <headerFooter alignWithMargins="0"/>
  <rowBreaks count="3" manualBreakCount="3">
    <brk id="96" max="11" man="1"/>
    <brk id="196" max="11" man="1"/>
    <brk id="202" max="11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L69"/>
  <sheetViews>
    <sheetView topLeftCell="B19" workbookViewId="0">
      <selection activeCell="J53" sqref="J53"/>
    </sheetView>
  </sheetViews>
  <sheetFormatPr defaultColWidth="9.140625" defaultRowHeight="15" x14ac:dyDescent="0.2"/>
  <cols>
    <col min="1" max="1" width="9.140625" style="301"/>
    <col min="2" max="2" width="20" style="301" bestFit="1" customWidth="1"/>
    <col min="3" max="5" width="9.140625" style="301"/>
    <col min="6" max="6" width="15.42578125" style="301" bestFit="1" customWidth="1"/>
    <col min="7" max="7" width="11.42578125" style="301" bestFit="1" customWidth="1"/>
    <col min="8" max="8" width="9.140625" style="301"/>
    <col min="9" max="9" width="15.140625" style="301" bestFit="1" customWidth="1"/>
    <col min="10" max="10" width="12.28515625" style="301" bestFit="1" customWidth="1"/>
    <col min="11" max="11" width="9.140625" style="301"/>
    <col min="12" max="12" width="12.28515625" style="301" customWidth="1"/>
    <col min="13" max="13" width="15.42578125" style="301" bestFit="1" customWidth="1"/>
    <col min="14" max="14" width="10.140625" style="301" customWidth="1"/>
    <col min="15" max="15" width="11.42578125" style="301" bestFit="1" customWidth="1"/>
    <col min="16" max="17" width="9.140625" style="301"/>
    <col min="18" max="18" width="22" style="301" customWidth="1"/>
    <col min="19" max="16384" width="9.140625" style="301"/>
  </cols>
  <sheetData>
    <row r="1" spans="1:38" x14ac:dyDescent="0.2">
      <c r="A1" s="301" t="s">
        <v>186</v>
      </c>
      <c r="B1" s="301" t="s">
        <v>187</v>
      </c>
      <c r="C1" s="301">
        <v>3</v>
      </c>
      <c r="E1" s="302" t="s">
        <v>189</v>
      </c>
      <c r="F1" s="302"/>
      <c r="G1" s="302">
        <v>7</v>
      </c>
      <c r="I1" s="308" t="s">
        <v>188</v>
      </c>
      <c r="J1" s="302">
        <v>3</v>
      </c>
      <c r="M1" s="301" t="s">
        <v>191</v>
      </c>
      <c r="N1" s="301">
        <f>10*(C1-1)+J1+2</f>
        <v>25</v>
      </c>
      <c r="O1" s="301" t="str">
        <f>ADDRESS(N1,N2,1,0,"tabulky")</f>
        <v>tabulky!R25C9</v>
      </c>
      <c r="Q1" s="301" t="s">
        <v>192</v>
      </c>
    </row>
    <row r="2" spans="1:38" x14ac:dyDescent="0.2">
      <c r="A2" s="301">
        <v>1</v>
      </c>
      <c r="B2" s="301" t="s">
        <v>218</v>
      </c>
      <c r="E2" s="302">
        <v>5</v>
      </c>
      <c r="F2" s="302"/>
      <c r="G2" s="302">
        <f>CHOOSE(G1,5,10,15,20,30,40,50,60,90,120,180)</f>
        <v>50</v>
      </c>
      <c r="I2" s="302" t="s">
        <v>360</v>
      </c>
      <c r="J2" s="302">
        <f>CHOOSE(J1,1,0.5,0.2,0.1,0.05,0.033,0.02,0.01)</f>
        <v>0.2</v>
      </c>
      <c r="M2" s="301" t="s">
        <v>190</v>
      </c>
      <c r="N2" s="301">
        <f>2+G1</f>
        <v>9</v>
      </c>
      <c r="O2" s="301">
        <f ca="1">INDIRECT(O1,0)</f>
        <v>74</v>
      </c>
    </row>
    <row r="3" spans="1:38" x14ac:dyDescent="0.2">
      <c r="A3" s="301">
        <v>2</v>
      </c>
      <c r="B3" s="301" t="s">
        <v>219</v>
      </c>
      <c r="E3" s="302">
        <v>10</v>
      </c>
      <c r="F3" s="302"/>
      <c r="G3" s="302"/>
      <c r="I3" s="302" t="s">
        <v>361</v>
      </c>
      <c r="J3" s="302"/>
      <c r="Q3" s="301">
        <f>10*($C$1-1)+3</f>
        <v>23</v>
      </c>
      <c r="R3" s="301" t="str">
        <f>ADDRESS(Q3,Q4,1,0,"tabulky")</f>
        <v>tabulky!R23C3</v>
      </c>
      <c r="S3" s="301">
        <f>10*($C$1-1)+3</f>
        <v>23</v>
      </c>
      <c r="T3" s="301" t="str">
        <f>ADDRESS(S3,S4,1,0,"tabulky")</f>
        <v>tabulky!R23C4</v>
      </c>
      <c r="U3" s="301">
        <f>10*($C$1-1)+3</f>
        <v>23</v>
      </c>
      <c r="V3" s="301" t="str">
        <f>ADDRESS(U3,U4,1,0,"tabulky")</f>
        <v>tabulky!R23C5</v>
      </c>
      <c r="W3" s="301">
        <f>10*($C$1-1)+3</f>
        <v>23</v>
      </c>
      <c r="X3" s="301" t="str">
        <f>ADDRESS(W3,W4,1,0,"tabulky")</f>
        <v>tabulky!R23C6</v>
      </c>
      <c r="Y3" s="301">
        <f>10*($C$1-1)+3</f>
        <v>23</v>
      </c>
      <c r="Z3" s="301" t="str">
        <f>ADDRESS(Y3,Y4,1,0,"tabulky")</f>
        <v>tabulky!R23C7</v>
      </c>
      <c r="AA3" s="301">
        <f>10*($C$1-1)+3</f>
        <v>23</v>
      </c>
      <c r="AB3" s="301" t="str">
        <f>ADDRESS(AA3,AA4,1,0,"tabulky")</f>
        <v>tabulky!R23C8</v>
      </c>
      <c r="AC3" s="301">
        <f>10*($C$1-1)+3</f>
        <v>23</v>
      </c>
      <c r="AD3" s="301" t="str">
        <f>ADDRESS(AC3,AC4,1,0,"tabulky")</f>
        <v>tabulky!R23C9</v>
      </c>
      <c r="AE3" s="301">
        <f>10*($C$1-1)+3</f>
        <v>23</v>
      </c>
      <c r="AF3" s="301" t="str">
        <f>ADDRESS(AE3,AE4,1,0,"tabulky")</f>
        <v>tabulky!R23C10</v>
      </c>
      <c r="AG3" s="301">
        <f>10*($C$1-1)+3</f>
        <v>23</v>
      </c>
      <c r="AH3" s="301" t="str">
        <f>ADDRESS(AG3,AG4,1,0,"tabulky")</f>
        <v>tabulky!R23C11</v>
      </c>
      <c r="AI3" s="301">
        <f>10*($C$1-1)+3</f>
        <v>23</v>
      </c>
      <c r="AJ3" s="301" t="str">
        <f>ADDRESS(AI3,AI4,1,0,"tabulky")</f>
        <v>tabulky!R23C12</v>
      </c>
      <c r="AK3" s="301">
        <f>10*($C$1-1)+3</f>
        <v>23</v>
      </c>
      <c r="AL3" s="301" t="str">
        <f>ADDRESS(AK3,AK4,1,0,"tabulky")</f>
        <v>tabulky!R23C13</v>
      </c>
    </row>
    <row r="4" spans="1:38" x14ac:dyDescent="0.2">
      <c r="A4" s="301">
        <v>3</v>
      </c>
      <c r="B4" s="301" t="s">
        <v>220</v>
      </c>
      <c r="E4" s="302">
        <v>15</v>
      </c>
      <c r="F4" s="302"/>
      <c r="G4" s="302"/>
      <c r="I4" s="302" t="s">
        <v>362</v>
      </c>
      <c r="J4" s="302"/>
      <c r="L4" s="303" t="s">
        <v>210</v>
      </c>
      <c r="M4" s="304">
        <v>15</v>
      </c>
      <c r="N4" s="305" t="s">
        <v>211</v>
      </c>
      <c r="O4" s="302">
        <v>4</v>
      </c>
      <c r="Q4" s="301">
        <v>3</v>
      </c>
      <c r="R4" s="301">
        <f ca="1">INDIRECT(R3,0)</f>
        <v>224</v>
      </c>
      <c r="S4" s="301">
        <v>4</v>
      </c>
      <c r="T4" s="301">
        <f ca="1">INDIRECT(T3,0)</f>
        <v>151</v>
      </c>
      <c r="U4" s="301">
        <v>5</v>
      </c>
      <c r="V4" s="301">
        <f ca="1">INDIRECT(V3,0)</f>
        <v>117</v>
      </c>
      <c r="W4" s="301">
        <v>6</v>
      </c>
      <c r="X4" s="301">
        <f ca="1">INDIRECT(X3,0)</f>
        <v>96</v>
      </c>
      <c r="Y4" s="301">
        <v>7</v>
      </c>
      <c r="Z4" s="301">
        <f ca="1">INDIRECT(Z3,0)</f>
        <v>72</v>
      </c>
      <c r="AA4" s="301">
        <v>8</v>
      </c>
      <c r="AB4" s="301">
        <f ca="1">INDIRECT(AB3,0)</f>
        <v>58</v>
      </c>
      <c r="AC4" s="301">
        <v>9</v>
      </c>
      <c r="AD4" s="301">
        <f ca="1">INDIRECT(AD3,0)</f>
        <v>49</v>
      </c>
      <c r="AE4" s="301">
        <v>10</v>
      </c>
      <c r="AF4" s="301">
        <f ca="1">INDIRECT(AF3,0)</f>
        <v>42</v>
      </c>
      <c r="AG4" s="301">
        <v>11</v>
      </c>
      <c r="AH4" s="301">
        <f ca="1">INDIRECT(AH3,0)</f>
        <v>30</v>
      </c>
      <c r="AI4" s="301">
        <v>12</v>
      </c>
      <c r="AJ4" s="301">
        <f ca="1">INDIRECT(AJ3,0)</f>
        <v>24</v>
      </c>
      <c r="AK4" s="301">
        <v>13</v>
      </c>
      <c r="AL4" s="301">
        <f ca="1">INDIRECT(AL3,0)</f>
        <v>17</v>
      </c>
    </row>
    <row r="5" spans="1:38" x14ac:dyDescent="0.2">
      <c r="A5" s="301">
        <v>4</v>
      </c>
      <c r="B5" s="301" t="s">
        <v>221</v>
      </c>
      <c r="E5" s="302">
        <v>20</v>
      </c>
      <c r="F5" s="302"/>
      <c r="G5" s="302"/>
      <c r="I5" s="302" t="s">
        <v>363</v>
      </c>
      <c r="J5" s="302"/>
      <c r="L5" s="306">
        <v>1E-3</v>
      </c>
      <c r="M5" s="304">
        <f>CHOOSE(M4,0.001,0.0009,0.0008,0.0007,0.0006,0.0005,0.0004,0.0003,0.0002,0.0001,0.00009,0.00008,0.00007,0.00006,0.00005,0.00004,0.00003,0.00002,0.00001,0.000009,0.000008,0.000007,0.000006,0.000005,0.000004,0.000003,0.000002,0.000001,L33)</f>
        <v>5.0000000000000002E-5</v>
      </c>
      <c r="N5" s="302">
        <v>0.6</v>
      </c>
      <c r="O5" s="302">
        <f>CHOOSE(O4,0.6,1.2,1.8,2.4,3,3.6,4.2,4.8,5.4,6,6.6,7.2,7.8,8.4,9,9.6,10.2,10.8,11.4,12,12.6,13.2,13.8,14.4,15,15.6,16.2,16.8,17.4)</f>
        <v>2.4</v>
      </c>
      <c r="Q5" s="301">
        <f>10*($C$1-1)+4</f>
        <v>24</v>
      </c>
      <c r="R5" s="301" t="str">
        <f>ADDRESS(Q5,Q6,1,0,"tabulky")</f>
        <v>tabulky!R24C3</v>
      </c>
      <c r="S5" s="301">
        <f>10*($C$1-1)+4</f>
        <v>24</v>
      </c>
      <c r="T5" s="301" t="str">
        <f>ADDRESS(S5,S6,1,0,"tabulky")</f>
        <v>tabulky!R24C4</v>
      </c>
      <c r="U5" s="301">
        <f>10*($C$1-1)+4</f>
        <v>24</v>
      </c>
      <c r="V5" s="301" t="str">
        <f>ADDRESS(U5,U6,1,0,"tabulky")</f>
        <v>tabulky!R24C5</v>
      </c>
      <c r="W5" s="301">
        <f>10*($C$1-1)+4</f>
        <v>24</v>
      </c>
      <c r="X5" s="301" t="str">
        <f>ADDRESS(W5,W6,1,0,"tabulky")</f>
        <v>tabulky!R24C6</v>
      </c>
      <c r="Y5" s="301">
        <f>10*($C$1-1)+4</f>
        <v>24</v>
      </c>
      <c r="Z5" s="301" t="str">
        <f>ADDRESS(Y5,Y6,1,0,"tabulky")</f>
        <v>tabulky!R24C7</v>
      </c>
      <c r="AA5" s="301">
        <f>10*($C$1-1)+4</f>
        <v>24</v>
      </c>
      <c r="AB5" s="301" t="str">
        <f>ADDRESS(AA5,AA6,1,0,"tabulky")</f>
        <v>tabulky!R24C8</v>
      </c>
      <c r="AC5" s="301">
        <f>10*($C$1-1)+4</f>
        <v>24</v>
      </c>
      <c r="AD5" s="301" t="str">
        <f>ADDRESS(AC5,AC6,1,0,"tabulky")</f>
        <v>tabulky!R24C9</v>
      </c>
      <c r="AE5" s="301">
        <f>10*($C$1-1)+4</f>
        <v>24</v>
      </c>
      <c r="AF5" s="301" t="str">
        <f>ADDRESS(AE5,AE6,1,0,"tabulky")</f>
        <v>tabulky!R24C10</v>
      </c>
      <c r="AG5" s="301">
        <f>10*($C$1-1)+4</f>
        <v>24</v>
      </c>
      <c r="AH5" s="301" t="str">
        <f>ADDRESS(AG5,AG6,1,0,"tabulky")</f>
        <v>tabulky!R24C11</v>
      </c>
      <c r="AI5" s="301">
        <f>10*($C$1-1)+4</f>
        <v>24</v>
      </c>
      <c r="AJ5" s="301" t="str">
        <f>ADDRESS(AI5,AI6,1,0,"tabulky")</f>
        <v>tabulky!R24C12</v>
      </c>
      <c r="AK5" s="301">
        <f>10*($C$1-1)+4</f>
        <v>24</v>
      </c>
      <c r="AL5" s="301" t="str">
        <f>ADDRESS(AK5,AK6,1,0,"tabulky")</f>
        <v>tabulky!R24C13</v>
      </c>
    </row>
    <row r="6" spans="1:38" x14ac:dyDescent="0.2">
      <c r="A6" s="301">
        <v>5</v>
      </c>
      <c r="B6" s="301" t="s">
        <v>222</v>
      </c>
      <c r="E6" s="302">
        <v>30</v>
      </c>
      <c r="F6" s="302"/>
      <c r="G6" s="302"/>
      <c r="I6" s="302" t="s">
        <v>364</v>
      </c>
      <c r="J6" s="302"/>
      <c r="L6" s="306">
        <v>8.9999999999999998E-4</v>
      </c>
      <c r="M6" s="307"/>
      <c r="N6" s="302">
        <v>1.2</v>
      </c>
      <c r="O6" s="302"/>
      <c r="Q6" s="301">
        <v>3</v>
      </c>
      <c r="R6" s="301">
        <f ca="1">INDIRECT(R5,0)</f>
        <v>274</v>
      </c>
      <c r="S6" s="301">
        <v>4</v>
      </c>
      <c r="T6" s="301">
        <f ca="1">INDIRECT(T5,0)</f>
        <v>184</v>
      </c>
      <c r="U6" s="301">
        <v>5</v>
      </c>
      <c r="V6" s="301">
        <f ca="1">INDIRECT(V5,0)</f>
        <v>142</v>
      </c>
      <c r="W6" s="301">
        <v>6</v>
      </c>
      <c r="X6" s="301">
        <f ca="1">INDIRECT(X5,0)</f>
        <v>117</v>
      </c>
      <c r="Y6" s="301">
        <v>7</v>
      </c>
      <c r="Z6" s="301">
        <f ca="1">INDIRECT(Z5,0)</f>
        <v>88</v>
      </c>
      <c r="AA6" s="301">
        <v>8</v>
      </c>
      <c r="AB6" s="301">
        <f ca="1">INDIRECT(AB5,0)</f>
        <v>71</v>
      </c>
      <c r="AC6" s="301">
        <v>9</v>
      </c>
      <c r="AD6" s="301">
        <f ca="1">INDIRECT(AD5,0)</f>
        <v>60</v>
      </c>
      <c r="AE6" s="301">
        <v>10</v>
      </c>
      <c r="AF6" s="301">
        <f ca="1">INDIRECT(AF5,0)</f>
        <v>52</v>
      </c>
      <c r="AG6" s="301">
        <v>11</v>
      </c>
      <c r="AH6" s="301">
        <f ca="1">INDIRECT(AH5,0)</f>
        <v>36</v>
      </c>
      <c r="AI6" s="301">
        <v>12</v>
      </c>
      <c r="AJ6" s="301">
        <f ca="1">INDIRECT(AJ5,0)</f>
        <v>28</v>
      </c>
      <c r="AK6" s="301">
        <v>13</v>
      </c>
      <c r="AL6" s="301">
        <f ca="1">INDIRECT(AL5,0)</f>
        <v>20</v>
      </c>
    </row>
    <row r="7" spans="1:38" x14ac:dyDescent="0.2">
      <c r="A7" s="301">
        <v>6</v>
      </c>
      <c r="B7" s="301" t="s">
        <v>223</v>
      </c>
      <c r="E7" s="302">
        <v>40</v>
      </c>
      <c r="F7" s="302"/>
      <c r="G7" s="302"/>
      <c r="I7" s="302" t="s">
        <v>365</v>
      </c>
      <c r="J7" s="302"/>
      <c r="L7" s="306">
        <v>8.0000000000000004E-4</v>
      </c>
      <c r="M7" s="307"/>
      <c r="N7" s="302">
        <v>1.8</v>
      </c>
      <c r="O7" s="302"/>
      <c r="Q7" s="301">
        <f>10*($C$1-1)+5</f>
        <v>25</v>
      </c>
      <c r="R7" s="301" t="str">
        <f>ADDRESS(Q7,Q8,1,0,"tabulky")</f>
        <v>tabulky!R25C3</v>
      </c>
      <c r="S7" s="301">
        <f>10*($C$1-1)+5</f>
        <v>25</v>
      </c>
      <c r="T7" s="301" t="str">
        <f>ADDRESS(S7,S8,1,0,"tabulky")</f>
        <v>tabulky!R25C4</v>
      </c>
      <c r="U7" s="301">
        <f>10*($C$1-1)+5</f>
        <v>25</v>
      </c>
      <c r="V7" s="301" t="str">
        <f>ADDRESS(U7,U8,1,0,"tabulky")</f>
        <v>tabulky!R25C5</v>
      </c>
      <c r="W7" s="301">
        <f>10*($C$1-1)+5</f>
        <v>25</v>
      </c>
      <c r="X7" s="301" t="str">
        <f>ADDRESS(W7,W8,1,0,"tabulky")</f>
        <v>tabulky!R25C6</v>
      </c>
      <c r="Y7" s="301">
        <f>10*($C$1-1)+5</f>
        <v>25</v>
      </c>
      <c r="Z7" s="301" t="str">
        <f>ADDRESS(Y7,Y8,1,0,"tabulky")</f>
        <v>tabulky!R25C7</v>
      </c>
      <c r="AA7" s="301">
        <f>10*($C$1-1)+5</f>
        <v>25</v>
      </c>
      <c r="AB7" s="301" t="str">
        <f>ADDRESS(AA7,AA8,1,0,"tabulky")</f>
        <v>tabulky!R25C8</v>
      </c>
      <c r="AC7" s="301">
        <f>10*($C$1-1)+5</f>
        <v>25</v>
      </c>
      <c r="AD7" s="301" t="str">
        <f>ADDRESS(AC7,AC8,1,0,"tabulky")</f>
        <v>tabulky!R25C9</v>
      </c>
      <c r="AE7" s="301">
        <f>10*($C$1-1)+5</f>
        <v>25</v>
      </c>
      <c r="AF7" s="301" t="str">
        <f>ADDRESS(AE7,AE8,1,0,"tabulky")</f>
        <v>tabulky!R25C10</v>
      </c>
      <c r="AG7" s="301">
        <f>10*($C$1-1)+5</f>
        <v>25</v>
      </c>
      <c r="AH7" s="301" t="str">
        <f>ADDRESS(AG7,AG8,1,0,"tabulky")</f>
        <v>tabulky!R25C11</v>
      </c>
      <c r="AI7" s="301">
        <f>10*($C$1-1)+5</f>
        <v>25</v>
      </c>
      <c r="AJ7" s="301" t="str">
        <f>ADDRESS(AI7,AI8,1,0,"tabulky")</f>
        <v>tabulky!R25C12</v>
      </c>
      <c r="AK7" s="301">
        <f>10*($C$1-1)+5</f>
        <v>25</v>
      </c>
      <c r="AL7" s="301" t="str">
        <f>ADDRESS(AK7,AK8,1,0,"tabulky")</f>
        <v>tabulky!R25C13</v>
      </c>
    </row>
    <row r="8" spans="1:38" x14ac:dyDescent="0.2">
      <c r="A8" s="301">
        <v>7</v>
      </c>
      <c r="B8" s="301" t="s">
        <v>224</v>
      </c>
      <c r="E8" s="302">
        <v>50</v>
      </c>
      <c r="F8" s="302"/>
      <c r="G8" s="302"/>
      <c r="I8" s="302" t="s">
        <v>366</v>
      </c>
      <c r="J8" s="302"/>
      <c r="L8" s="306">
        <v>6.9999999999999999E-4</v>
      </c>
      <c r="M8" s="307"/>
      <c r="N8" s="302">
        <v>2.4</v>
      </c>
      <c r="O8" s="302"/>
      <c r="Q8" s="301">
        <v>3</v>
      </c>
      <c r="R8" s="301">
        <f ca="1">INDIRECT(R7,0)</f>
        <v>345</v>
      </c>
      <c r="S8" s="301">
        <v>4</v>
      </c>
      <c r="T8" s="301">
        <f ca="1">INDIRECT(T7,0)</f>
        <v>233</v>
      </c>
      <c r="U8" s="301">
        <v>5</v>
      </c>
      <c r="V8" s="301">
        <f ca="1">INDIRECT(V7,0)</f>
        <v>180</v>
      </c>
      <c r="W8" s="301">
        <v>6</v>
      </c>
      <c r="X8" s="301">
        <f ca="1">INDIRECT(X7,0)</f>
        <v>147</v>
      </c>
      <c r="Y8" s="301">
        <v>7</v>
      </c>
      <c r="Z8" s="301">
        <f ca="1">INDIRECT(Z7,0)</f>
        <v>110</v>
      </c>
      <c r="AA8" s="301">
        <v>8</v>
      </c>
      <c r="AB8" s="301">
        <f ca="1">INDIRECT(AB7,0)</f>
        <v>88</v>
      </c>
      <c r="AC8" s="301">
        <v>9</v>
      </c>
      <c r="AD8" s="301">
        <f ca="1">INDIRECT(AD7,0)</f>
        <v>74</v>
      </c>
      <c r="AE8" s="301">
        <v>10</v>
      </c>
      <c r="AF8" s="301">
        <f ca="1">INDIRECT(AF7,0)</f>
        <v>64</v>
      </c>
      <c r="AG8" s="301">
        <v>11</v>
      </c>
      <c r="AH8" s="301">
        <f ca="1">INDIRECT(AH7,0)</f>
        <v>46</v>
      </c>
      <c r="AI8" s="301">
        <v>12</v>
      </c>
      <c r="AJ8" s="301">
        <f ca="1">INDIRECT(AJ7,0)</f>
        <v>36</v>
      </c>
      <c r="AK8" s="301">
        <v>13</v>
      </c>
      <c r="AL8" s="301">
        <f ca="1">INDIRECT(AL7,0)</f>
        <v>25</v>
      </c>
    </row>
    <row r="9" spans="1:38" x14ac:dyDescent="0.2">
      <c r="A9" s="301">
        <v>8</v>
      </c>
      <c r="B9" s="301" t="s">
        <v>225</v>
      </c>
      <c r="E9" s="302">
        <v>60</v>
      </c>
      <c r="F9" s="302"/>
      <c r="G9" s="302"/>
      <c r="I9" s="302" t="s">
        <v>367</v>
      </c>
      <c r="J9" s="302"/>
      <c r="L9" s="306">
        <v>5.9999999999999995E-4</v>
      </c>
      <c r="M9" s="307"/>
      <c r="N9" s="302">
        <v>3</v>
      </c>
      <c r="O9" s="302"/>
      <c r="Q9" s="301">
        <f>10*($C$1-1)+6</f>
        <v>26</v>
      </c>
      <c r="R9" s="301" t="str">
        <f>ADDRESS(Q9,Q10,1,0,"tabulky")</f>
        <v>tabulky!R26C3</v>
      </c>
      <c r="S9" s="301">
        <f>10*($C$1-1)+6</f>
        <v>26</v>
      </c>
      <c r="T9" s="301" t="str">
        <f>ADDRESS(S9,S10,1,0,"tabulky")</f>
        <v>tabulky!R26C4</v>
      </c>
      <c r="U9" s="301">
        <f>10*($C$1-1)+6</f>
        <v>26</v>
      </c>
      <c r="V9" s="301" t="str">
        <f>ADDRESS(U9,U10,1,0,"tabulky")</f>
        <v>tabulky!R26C5</v>
      </c>
      <c r="W9" s="301">
        <f>10*($C$1-1)+6</f>
        <v>26</v>
      </c>
      <c r="X9" s="301" t="str">
        <f>ADDRESS(W9,W10,1,0,"tabulky")</f>
        <v>tabulky!R26C6</v>
      </c>
      <c r="Y9" s="301">
        <f>10*($C$1-1)+6</f>
        <v>26</v>
      </c>
      <c r="Z9" s="301" t="str">
        <f>ADDRESS(Y9,Y10,1,0,"tabulky")</f>
        <v>tabulky!R26C7</v>
      </c>
      <c r="AA9" s="301">
        <f>10*($C$1-1)+6</f>
        <v>26</v>
      </c>
      <c r="AB9" s="301" t="str">
        <f>ADDRESS(AA9,AA10,1,0,"tabulky")</f>
        <v>tabulky!R26C8</v>
      </c>
      <c r="AC9" s="301">
        <f>10*($C$1-1)+6</f>
        <v>26</v>
      </c>
      <c r="AD9" s="301" t="str">
        <f>ADDRESS(AC9,AC10,1,0,"tabulky")</f>
        <v>tabulky!R26C9</v>
      </c>
      <c r="AE9" s="301">
        <f>10*($C$1-1)+6</f>
        <v>26</v>
      </c>
      <c r="AF9" s="301" t="str">
        <f>ADDRESS(AE9,AE10,1,0,"tabulky")</f>
        <v>tabulky!R26C10</v>
      </c>
      <c r="AG9" s="301">
        <f>10*($C$1-1)+6</f>
        <v>26</v>
      </c>
      <c r="AH9" s="301" t="str">
        <f>ADDRESS(AG9,AG10,1,0,"tabulky")</f>
        <v>tabulky!R26C11</v>
      </c>
      <c r="AI9" s="301">
        <f>10*($C$1-1)+6</f>
        <v>26</v>
      </c>
      <c r="AJ9" s="301" t="str">
        <f>ADDRESS(AI9,AI10,1,0,"tabulky")</f>
        <v>tabulky!R26C12</v>
      </c>
      <c r="AK9" s="301">
        <f>10*($C$1-1)+6</f>
        <v>26</v>
      </c>
      <c r="AL9" s="301" t="str">
        <f>ADDRESS(AK9,AK10,1,0,"tabulky")</f>
        <v>tabulky!R26C13</v>
      </c>
    </row>
    <row r="10" spans="1:38" x14ac:dyDescent="0.2">
      <c r="A10" s="301">
        <v>9</v>
      </c>
      <c r="B10" s="301" t="s">
        <v>226</v>
      </c>
      <c r="E10" s="302">
        <v>90</v>
      </c>
      <c r="F10" s="302"/>
      <c r="G10" s="302"/>
      <c r="L10" s="306">
        <v>5.0000000000000001E-4</v>
      </c>
      <c r="M10" s="307"/>
      <c r="N10" s="302">
        <v>3.6</v>
      </c>
      <c r="O10" s="302"/>
      <c r="Q10" s="301">
        <v>3</v>
      </c>
      <c r="R10" s="301">
        <f ca="1">INDIRECT(R9,0)</f>
        <v>391</v>
      </c>
      <c r="S10" s="301">
        <v>4</v>
      </c>
      <c r="T10" s="301">
        <f ca="1">INDIRECT(T9,0)</f>
        <v>267</v>
      </c>
      <c r="U10" s="301">
        <v>5</v>
      </c>
      <c r="V10" s="301">
        <f ca="1">INDIRECT(V9,0)</f>
        <v>209</v>
      </c>
      <c r="W10" s="301">
        <v>6</v>
      </c>
      <c r="X10" s="301">
        <f ca="1">INDIRECT(X9,0)</f>
        <v>172</v>
      </c>
      <c r="Y10" s="301">
        <v>7</v>
      </c>
      <c r="Z10" s="301">
        <f ca="1">INDIRECT(Z9,0)</f>
        <v>128</v>
      </c>
      <c r="AA10" s="301">
        <v>8</v>
      </c>
      <c r="AB10" s="301">
        <f ca="1">INDIRECT(AB9,0)</f>
        <v>103</v>
      </c>
      <c r="AC10" s="301">
        <v>9</v>
      </c>
      <c r="AD10" s="301">
        <f ca="1">INDIRECT(AD9,0)</f>
        <v>86</v>
      </c>
      <c r="AE10" s="301">
        <v>10</v>
      </c>
      <c r="AF10" s="301">
        <f ca="1">INDIRECT(AF9,0)</f>
        <v>74</v>
      </c>
      <c r="AG10" s="301">
        <v>11</v>
      </c>
      <c r="AH10" s="301">
        <f ca="1">INDIRECT(AH9,0)</f>
        <v>52</v>
      </c>
      <c r="AI10" s="301">
        <v>12</v>
      </c>
      <c r="AJ10" s="301">
        <f ca="1">INDIRECT(AJ9,0)</f>
        <v>41</v>
      </c>
      <c r="AK10" s="301">
        <v>13</v>
      </c>
      <c r="AL10" s="301">
        <f ca="1">INDIRECT(AL9,0)</f>
        <v>28</v>
      </c>
    </row>
    <row r="11" spans="1:38" x14ac:dyDescent="0.2">
      <c r="A11" s="301">
        <v>10</v>
      </c>
      <c r="B11" s="301" t="s">
        <v>227</v>
      </c>
      <c r="E11" s="302">
        <v>120</v>
      </c>
      <c r="F11" s="302"/>
      <c r="G11" s="302"/>
      <c r="L11" s="306">
        <v>4.0000000000000002E-4</v>
      </c>
      <c r="M11" s="307"/>
      <c r="N11" s="302">
        <v>4.2</v>
      </c>
      <c r="O11" s="302"/>
      <c r="Q11" s="301">
        <f>10*($C$1-1)+7</f>
        <v>27</v>
      </c>
      <c r="R11" s="301" t="str">
        <f>ADDRESS(Q11,Q12,1,0,"tabulky")</f>
        <v>tabulky!R27C3</v>
      </c>
      <c r="S11" s="301">
        <f>10*($C$1-1)+7</f>
        <v>27</v>
      </c>
      <c r="T11" s="301" t="str">
        <f>ADDRESS(S11,S12,1,0,"tabulky")</f>
        <v>tabulky!R27C4</v>
      </c>
      <c r="U11" s="301">
        <f>10*($C$1-1)+7</f>
        <v>27</v>
      </c>
      <c r="V11" s="301" t="str">
        <f>ADDRESS(U11,U12,1,0,"tabulky")</f>
        <v>tabulky!R27C5</v>
      </c>
      <c r="W11" s="301">
        <f>10*($C$1-1)+7</f>
        <v>27</v>
      </c>
      <c r="X11" s="301" t="str">
        <f>ADDRESS(W11,W12,1,0,"tabulky")</f>
        <v>tabulky!R27C6</v>
      </c>
      <c r="Y11" s="301">
        <f>10*($C$1-1)+7</f>
        <v>27</v>
      </c>
      <c r="Z11" s="301" t="str">
        <f>ADDRESS(Y11,Y12,1,0,"tabulky")</f>
        <v>tabulky!R27C7</v>
      </c>
      <c r="AA11" s="301">
        <f>10*($C$1-1)+7</f>
        <v>27</v>
      </c>
      <c r="AB11" s="301" t="str">
        <f>ADDRESS(AA11,AA12,1,0,"tabulky")</f>
        <v>tabulky!R27C8</v>
      </c>
      <c r="AC11" s="301">
        <f>10*($C$1-1)+7</f>
        <v>27</v>
      </c>
      <c r="AD11" s="301" t="str">
        <f>ADDRESS(AC11,AC12,1,0,"tabulky")</f>
        <v>tabulky!R27C9</v>
      </c>
      <c r="AE11" s="301">
        <f>10*($C$1-1)+7</f>
        <v>27</v>
      </c>
      <c r="AF11" s="301" t="str">
        <f>ADDRESS(AE11,AE12,1,0,"tabulky")</f>
        <v>tabulky!R27C10</v>
      </c>
      <c r="AG11" s="301">
        <f>10*($C$1-1)+7</f>
        <v>27</v>
      </c>
      <c r="AH11" s="301" t="str">
        <f>ADDRESS(AG11,AG12,1,0,"tabulky")</f>
        <v>tabulky!R27C11</v>
      </c>
      <c r="AI11" s="301">
        <f>10*($C$1-1)+7</f>
        <v>27</v>
      </c>
      <c r="AJ11" s="301" t="str">
        <f>ADDRESS(AI11,AI12,1,0,"tabulky")</f>
        <v>tabulky!R27C12</v>
      </c>
      <c r="AK11" s="301">
        <f>10*($C$1-1)+7</f>
        <v>27</v>
      </c>
      <c r="AL11" s="301" t="str">
        <f>ADDRESS(AK11,AK12,1,0,"tabulky")</f>
        <v>tabulky!R27C13</v>
      </c>
    </row>
    <row r="12" spans="1:38" x14ac:dyDescent="0.2">
      <c r="A12" s="301">
        <v>11</v>
      </c>
      <c r="B12" s="301" t="s">
        <v>228</v>
      </c>
      <c r="E12" s="302">
        <v>180</v>
      </c>
      <c r="F12" s="302"/>
      <c r="G12" s="302"/>
      <c r="L12" s="306">
        <v>2.9999999999999997E-4</v>
      </c>
      <c r="M12" s="307"/>
      <c r="N12" s="302">
        <v>4.8</v>
      </c>
      <c r="O12" s="302"/>
      <c r="Q12" s="301">
        <v>3</v>
      </c>
      <c r="R12" s="301">
        <f ca="1">INDIRECT(R11,0)</f>
        <v>434</v>
      </c>
      <c r="S12" s="301">
        <v>4</v>
      </c>
      <c r="T12" s="301">
        <f ca="1">INDIRECT(T11,0)</f>
        <v>298</v>
      </c>
      <c r="U12" s="301">
        <v>5</v>
      </c>
      <c r="V12" s="301">
        <f ca="1">INDIRECT(V11,0)</f>
        <v>233</v>
      </c>
      <c r="W12" s="301">
        <v>6</v>
      </c>
      <c r="X12" s="301">
        <f ca="1">INDIRECT(X11,0)</f>
        <v>192</v>
      </c>
      <c r="Y12" s="301">
        <v>7</v>
      </c>
      <c r="Z12" s="301">
        <f ca="1">INDIRECT(Z11,0)</f>
        <v>145</v>
      </c>
      <c r="AA12" s="301">
        <v>8</v>
      </c>
      <c r="AB12" s="301">
        <f ca="1">INDIRECT(AB11,0)</f>
        <v>116</v>
      </c>
      <c r="AC12" s="301">
        <v>9</v>
      </c>
      <c r="AD12" s="301">
        <f ca="1">INDIRECT(AD11,0)</f>
        <v>96</v>
      </c>
      <c r="AE12" s="301">
        <v>10</v>
      </c>
      <c r="AF12" s="301">
        <f ca="1">INDIRECT(AF11,0)</f>
        <v>82</v>
      </c>
      <c r="AG12" s="301">
        <v>11</v>
      </c>
      <c r="AH12" s="301">
        <f ca="1">INDIRECT(AH11,0)</f>
        <v>57</v>
      </c>
      <c r="AI12" s="301">
        <v>12</v>
      </c>
      <c r="AJ12" s="301">
        <f ca="1">INDIRECT(AJ11,0)</f>
        <v>45</v>
      </c>
      <c r="AK12" s="301">
        <v>13</v>
      </c>
      <c r="AL12" s="301">
        <f ca="1">INDIRECT(AL11,0)</f>
        <v>31</v>
      </c>
    </row>
    <row r="13" spans="1:38" x14ac:dyDescent="0.2">
      <c r="A13" s="301">
        <v>12</v>
      </c>
      <c r="B13" s="301" t="s">
        <v>229</v>
      </c>
      <c r="L13" s="306">
        <v>2.0000000000000001E-4</v>
      </c>
      <c r="M13" s="307"/>
      <c r="N13" s="302">
        <v>5.4</v>
      </c>
      <c r="O13" s="302"/>
      <c r="Q13" s="301">
        <f>10*($C$1-1)+8</f>
        <v>28</v>
      </c>
      <c r="R13" s="301" t="str">
        <f>ADDRESS(Q13,Q14,1,0,"tabulky")</f>
        <v>tabulky!R28C3</v>
      </c>
      <c r="S13" s="301">
        <f>10*($C$1-1)+8</f>
        <v>28</v>
      </c>
      <c r="T13" s="301" t="str">
        <f>ADDRESS(S13,S14,1,0,"tabulky")</f>
        <v>tabulky!R28C4</v>
      </c>
      <c r="U13" s="301">
        <f>10*($C$1-1)+8</f>
        <v>28</v>
      </c>
      <c r="V13" s="301" t="str">
        <f>ADDRESS(U13,U14,1,0,"tabulky")</f>
        <v>tabulky!R28C5</v>
      </c>
      <c r="W13" s="301">
        <f>10*($C$1-1)+8</f>
        <v>28</v>
      </c>
      <c r="X13" s="301" t="str">
        <f>ADDRESS(W13,W14,1,0,"tabulky")</f>
        <v>tabulky!R28C6</v>
      </c>
      <c r="Y13" s="301">
        <f>10*($C$1-1)+8</f>
        <v>28</v>
      </c>
      <c r="Z13" s="301" t="str">
        <f>ADDRESS(Y13,Y14,1,0,"tabulky")</f>
        <v>tabulky!R28C7</v>
      </c>
      <c r="AA13" s="301">
        <f>10*($C$1-1)+8</f>
        <v>28</v>
      </c>
      <c r="AB13" s="301" t="str">
        <f>ADDRESS(AA13,AA14,1,0,"tabulky")</f>
        <v>tabulky!R28C8</v>
      </c>
      <c r="AC13" s="301">
        <f>10*($C$1-1)+8</f>
        <v>28</v>
      </c>
      <c r="AD13" s="301" t="str">
        <f>ADDRESS(AC13,AC14,1,0,"tabulky")</f>
        <v>tabulky!R28C9</v>
      </c>
      <c r="AE13" s="301">
        <f>10*($C$1-1)+8</f>
        <v>28</v>
      </c>
      <c r="AF13" s="301" t="str">
        <f>ADDRESS(AE13,AE14,1,0,"tabulky")</f>
        <v>tabulky!R28C10</v>
      </c>
      <c r="AG13" s="301">
        <f>10*($C$1-1)+8</f>
        <v>28</v>
      </c>
      <c r="AH13" s="301" t="str">
        <f>ADDRESS(AG13,AG14,1,0,"tabulky")</f>
        <v>tabulky!R28C11</v>
      </c>
      <c r="AI13" s="301">
        <f>10*($C$1-1)+8</f>
        <v>28</v>
      </c>
      <c r="AJ13" s="301" t="str">
        <f>ADDRESS(AI13,AI14,1,0,"tabulky")</f>
        <v>tabulky!R28C12</v>
      </c>
      <c r="AK13" s="301">
        <f>10*($C$1-1)+8</f>
        <v>28</v>
      </c>
      <c r="AL13" s="301" t="str">
        <f>ADDRESS(AK13,AK14,1,0,"tabulky")</f>
        <v>tabulky!R28C13</v>
      </c>
    </row>
    <row r="14" spans="1:38" x14ac:dyDescent="0.2">
      <c r="A14" s="301">
        <v>13</v>
      </c>
      <c r="B14" s="301" t="s">
        <v>230</v>
      </c>
      <c r="L14" s="306">
        <v>1E-4</v>
      </c>
      <c r="M14" s="307"/>
      <c r="N14" s="302">
        <v>6</v>
      </c>
      <c r="O14" s="302"/>
      <c r="Q14" s="301">
        <v>3</v>
      </c>
      <c r="R14" s="301">
        <f ca="1">INDIRECT(R13,0)</f>
        <v>454</v>
      </c>
      <c r="S14" s="301">
        <v>4</v>
      </c>
      <c r="T14" s="301">
        <f ca="1">INDIRECT(T13,0)</f>
        <v>316</v>
      </c>
      <c r="U14" s="301">
        <v>5</v>
      </c>
      <c r="V14" s="301">
        <f ca="1">INDIRECT(V13,0)</f>
        <v>250</v>
      </c>
      <c r="W14" s="301">
        <v>6</v>
      </c>
      <c r="X14" s="301">
        <f ca="1">INDIRECT(X13,0)</f>
        <v>205</v>
      </c>
      <c r="Y14" s="301">
        <v>7</v>
      </c>
      <c r="Z14" s="301">
        <f ca="1">INDIRECT(Z13,0)</f>
        <v>155</v>
      </c>
      <c r="AA14" s="301">
        <v>8</v>
      </c>
      <c r="AB14" s="301">
        <f ca="1">INDIRECT(AB13,0)</f>
        <v>126</v>
      </c>
      <c r="AC14" s="301">
        <v>9</v>
      </c>
      <c r="AD14" s="301">
        <f ca="1">INDIRECT(AD13,0)</f>
        <v>104</v>
      </c>
      <c r="AE14" s="301">
        <v>10</v>
      </c>
      <c r="AF14" s="301">
        <f ca="1">INDIRECT(AF13,0)</f>
        <v>90</v>
      </c>
      <c r="AG14" s="301">
        <v>11</v>
      </c>
      <c r="AH14" s="301">
        <f ca="1">INDIRECT(AH13,0)</f>
        <v>64</v>
      </c>
      <c r="AI14" s="301">
        <v>12</v>
      </c>
      <c r="AJ14" s="301">
        <f ca="1">INDIRECT(AJ13,0)</f>
        <v>50</v>
      </c>
      <c r="AK14" s="301">
        <v>13</v>
      </c>
      <c r="AL14" s="301">
        <f ca="1">INDIRECT(AL13,0)</f>
        <v>34</v>
      </c>
    </row>
    <row r="15" spans="1:38" x14ac:dyDescent="0.2">
      <c r="A15" s="301">
        <v>14</v>
      </c>
      <c r="B15" s="301" t="s">
        <v>231</v>
      </c>
      <c r="E15" s="412" t="s">
        <v>208</v>
      </c>
      <c r="F15" s="413">
        <v>2</v>
      </c>
      <c r="I15" s="308" t="s">
        <v>209</v>
      </c>
      <c r="J15" s="302">
        <v>5</v>
      </c>
      <c r="L15" s="306">
        <v>9.0000000000000006E-5</v>
      </c>
      <c r="M15" s="307"/>
      <c r="N15" s="302">
        <v>6.6</v>
      </c>
      <c r="O15" s="302"/>
      <c r="Q15" s="301">
        <f>10*($C$1-1)+9</f>
        <v>29</v>
      </c>
      <c r="R15" s="301" t="str">
        <f>ADDRESS(Q15,Q16,1,0,"tabulky")</f>
        <v>tabulky!R29C3</v>
      </c>
      <c r="S15" s="301">
        <f>10*($C$1-1)+9</f>
        <v>29</v>
      </c>
      <c r="T15" s="301" t="str">
        <f>ADDRESS(S15,S16,1,0,"tabulky")</f>
        <v>tabulky!R29C4</v>
      </c>
      <c r="U15" s="301">
        <f>10*($C$1-1)+9</f>
        <v>29</v>
      </c>
      <c r="V15" s="301" t="str">
        <f>ADDRESS(U15,U16,1,0,"tabulky")</f>
        <v>tabulky!R29C5</v>
      </c>
      <c r="W15" s="301">
        <f>10*($C$1-1)+9</f>
        <v>29</v>
      </c>
      <c r="X15" s="301" t="str">
        <f>ADDRESS(W15,W16,1,0,"tabulky")</f>
        <v>tabulky!R29C6</v>
      </c>
      <c r="Y15" s="301">
        <f>10*($C$1-1)+9</f>
        <v>29</v>
      </c>
      <c r="Z15" s="301" t="str">
        <f>ADDRESS(Y15,Y16,1,0,"tabulky")</f>
        <v>tabulky!R29C7</v>
      </c>
      <c r="AA15" s="301">
        <f>10*($C$1-1)+9</f>
        <v>29</v>
      </c>
      <c r="AB15" s="301" t="str">
        <f>ADDRESS(AA15,AA16,1,0,"tabulky")</f>
        <v>tabulky!R29C8</v>
      </c>
      <c r="AC15" s="301">
        <f>10*($C$1-1)+9</f>
        <v>29</v>
      </c>
      <c r="AD15" s="301" t="str">
        <f>ADDRESS(AC15,AC16,1,0,"tabulky")</f>
        <v>tabulky!R29C9</v>
      </c>
      <c r="AE15" s="301">
        <f>10*($C$1-1)+9</f>
        <v>29</v>
      </c>
      <c r="AF15" s="301" t="str">
        <f>ADDRESS(AE15,AE16,1,0,"tabulky")</f>
        <v>tabulky!R29C10</v>
      </c>
      <c r="AG15" s="301">
        <f>10*($C$1-1)+9</f>
        <v>29</v>
      </c>
      <c r="AH15" s="301" t="str">
        <f>ADDRESS(AG15,AG16,1,0,"tabulky")</f>
        <v>tabulky!R29C11</v>
      </c>
      <c r="AI15" s="301">
        <f>10*($C$1-1)+9</f>
        <v>29</v>
      </c>
      <c r="AJ15" s="301" t="str">
        <f>ADDRESS(AI15,AI16,1,0,"tabulky")</f>
        <v>tabulky!R29C12</v>
      </c>
      <c r="AK15" s="301">
        <f>10*($C$1-1)+9</f>
        <v>29</v>
      </c>
      <c r="AL15" s="301" t="str">
        <f>ADDRESS(AK15,AK16,1,0,"tabulky")</f>
        <v>tabulky!R29C13</v>
      </c>
    </row>
    <row r="16" spans="1:38" x14ac:dyDescent="0.2">
      <c r="A16" s="301">
        <v>15</v>
      </c>
      <c r="B16" s="301" t="s">
        <v>232</v>
      </c>
      <c r="E16" s="413">
        <v>1</v>
      </c>
      <c r="F16" s="413">
        <f>CHOOSE(F15,1,2,3,4,5)</f>
        <v>2</v>
      </c>
      <c r="I16" s="309">
        <v>1</v>
      </c>
      <c r="J16" s="302">
        <f>CHOOSE(J15,1,1.05,1.1,1.15,1.2)</f>
        <v>1.2</v>
      </c>
      <c r="L16" s="306">
        <v>8.0000000000000007E-5</v>
      </c>
      <c r="M16" s="307"/>
      <c r="N16" s="302">
        <v>7.2</v>
      </c>
      <c r="O16" s="302"/>
      <c r="Q16" s="301">
        <v>3</v>
      </c>
      <c r="R16" s="301">
        <f ca="1">INDIRECT(R15,0)</f>
        <v>464</v>
      </c>
      <c r="S16" s="301">
        <v>4</v>
      </c>
      <c r="T16" s="301">
        <f ca="1">INDIRECT(T15,0)</f>
        <v>328</v>
      </c>
      <c r="U16" s="301">
        <v>5</v>
      </c>
      <c r="V16" s="301">
        <f ca="1">INDIRECT(V15,0)</f>
        <v>258</v>
      </c>
      <c r="W16" s="301">
        <v>6</v>
      </c>
      <c r="X16" s="301">
        <f ca="1">INDIRECT(X15,0)</f>
        <v>212</v>
      </c>
      <c r="Y16" s="301">
        <v>7</v>
      </c>
      <c r="Z16" s="301">
        <f ca="1">INDIRECT(Z15,0)</f>
        <v>160</v>
      </c>
      <c r="AA16" s="301">
        <v>8</v>
      </c>
      <c r="AB16" s="301">
        <f ca="1">INDIRECT(AB15,0)</f>
        <v>131</v>
      </c>
      <c r="AC16" s="301">
        <v>9</v>
      </c>
      <c r="AD16" s="301">
        <f ca="1">INDIRECT(AD15,0)</f>
        <v>110</v>
      </c>
      <c r="AE16" s="301">
        <v>10</v>
      </c>
      <c r="AF16" s="301">
        <f ca="1">INDIRECT(AF15,0)</f>
        <v>95</v>
      </c>
      <c r="AG16" s="301">
        <v>11</v>
      </c>
      <c r="AH16" s="301">
        <f ca="1">INDIRECT(AH15,0)</f>
        <v>67</v>
      </c>
      <c r="AI16" s="301">
        <v>12</v>
      </c>
      <c r="AJ16" s="301">
        <f ca="1">INDIRECT(AJ15,0)</f>
        <v>53</v>
      </c>
      <c r="AK16" s="301">
        <v>13</v>
      </c>
      <c r="AL16" s="301">
        <f ca="1">INDIRECT(AL15,0)</f>
        <v>37</v>
      </c>
    </row>
    <row r="17" spans="1:38" x14ac:dyDescent="0.2">
      <c r="A17" s="301">
        <v>16</v>
      </c>
      <c r="B17" s="301" t="s">
        <v>233</v>
      </c>
      <c r="E17" s="413">
        <v>2</v>
      </c>
      <c r="F17" s="413"/>
      <c r="I17" s="309">
        <v>1.05</v>
      </c>
      <c r="J17" s="302"/>
      <c r="L17" s="306">
        <v>6.9999999999999994E-5</v>
      </c>
      <c r="M17" s="307"/>
      <c r="N17" s="302">
        <v>7.8</v>
      </c>
      <c r="O17" s="302"/>
      <c r="Q17" s="301">
        <f>10*($C$1-1)+10</f>
        <v>30</v>
      </c>
      <c r="R17" s="301" t="str">
        <f>ADDRESS(Q17,Q18,1,0,"tabulky")</f>
        <v>tabulky!R30C3</v>
      </c>
      <c r="S17" s="301">
        <f>10*($C$1-1)+10</f>
        <v>30</v>
      </c>
      <c r="T17" s="301" t="str">
        <f>ADDRESS(S17,S18,1,0,"tabulky")</f>
        <v>tabulky!R30C4</v>
      </c>
      <c r="U17" s="301">
        <f>10*($C$1-1)+10</f>
        <v>30</v>
      </c>
      <c r="V17" s="301" t="str">
        <f>ADDRESS(U17,U18,1,0,"tabulky")</f>
        <v>tabulky!R30C5</v>
      </c>
      <c r="W17" s="301">
        <f>10*($C$1-1)+10</f>
        <v>30</v>
      </c>
      <c r="X17" s="301" t="str">
        <f>ADDRESS(W17,W18,1,0,"tabulky")</f>
        <v>tabulky!R30C6</v>
      </c>
      <c r="Y17" s="301">
        <f>10*($C$1-1)+10</f>
        <v>30</v>
      </c>
      <c r="Z17" s="301" t="str">
        <f>ADDRESS(Y17,Y18,1,0,"tabulky")</f>
        <v>tabulky!R30C7</v>
      </c>
      <c r="AA17" s="301">
        <f>10*($C$1-1)+10</f>
        <v>30</v>
      </c>
      <c r="AB17" s="301" t="str">
        <f>ADDRESS(AA17,AA18,1,0,"tabulky")</f>
        <v>tabulky!R30C8</v>
      </c>
      <c r="AC17" s="301">
        <f>10*($C$1-1)+10</f>
        <v>30</v>
      </c>
      <c r="AD17" s="301" t="str">
        <f>ADDRESS(AC17,AC18,1,0,"tabulky")</f>
        <v>tabulky!R30C9</v>
      </c>
      <c r="AE17" s="301">
        <f>10*($C$1-1)+10</f>
        <v>30</v>
      </c>
      <c r="AF17" s="301" t="str">
        <f>ADDRESS(AE17,AE18,1,0,"tabulky")</f>
        <v>tabulky!R30C10</v>
      </c>
      <c r="AG17" s="301">
        <f>10*($C$1-1)+10</f>
        <v>30</v>
      </c>
      <c r="AH17" s="301" t="str">
        <f>ADDRESS(AG17,AG18,1,0,"tabulky")</f>
        <v>tabulky!R30C11</v>
      </c>
      <c r="AI17" s="301">
        <f>10*($C$1-1)+10</f>
        <v>30</v>
      </c>
      <c r="AJ17" s="301" t="str">
        <f>ADDRESS(AI17,AI18,1,0,"tabulky")</f>
        <v>tabulky!R30C12</v>
      </c>
      <c r="AK17" s="301">
        <f>10*($C$1-1)+10</f>
        <v>30</v>
      </c>
      <c r="AL17" s="301" t="str">
        <f>ADDRESS(AK17,AK18,1,0,"tabulky")</f>
        <v>tabulky!R30C13</v>
      </c>
    </row>
    <row r="18" spans="1:38" x14ac:dyDescent="0.2">
      <c r="A18" s="301">
        <v>17</v>
      </c>
      <c r="B18" s="301" t="s">
        <v>234</v>
      </c>
      <c r="E18" s="413">
        <v>3</v>
      </c>
      <c r="F18" s="413"/>
      <c r="I18" s="309">
        <v>1.1000000000000001</v>
      </c>
      <c r="J18" s="302"/>
      <c r="L18" s="306">
        <v>6.0000000000000002E-5</v>
      </c>
      <c r="M18" s="307"/>
      <c r="N18" s="302">
        <v>8.4</v>
      </c>
      <c r="O18" s="302"/>
      <c r="Q18" s="301">
        <v>3</v>
      </c>
      <c r="R18" s="301">
        <f ca="1">INDIRECT(R17,0)</f>
        <v>478</v>
      </c>
      <c r="S18" s="301">
        <v>4</v>
      </c>
      <c r="T18" s="301">
        <f ca="1">INDIRECT(T17,0)</f>
        <v>339</v>
      </c>
      <c r="U18" s="301">
        <v>5</v>
      </c>
      <c r="V18" s="301">
        <f ca="1">INDIRECT(V17,0)</f>
        <v>269</v>
      </c>
      <c r="W18" s="301">
        <v>6</v>
      </c>
      <c r="X18" s="301">
        <f ca="1">INDIRECT(X17,0)</f>
        <v>222</v>
      </c>
      <c r="Y18" s="301">
        <v>7</v>
      </c>
      <c r="Z18" s="301">
        <f ca="1">INDIRECT(Z17,0)</f>
        <v>170</v>
      </c>
      <c r="AA18" s="301">
        <v>8</v>
      </c>
      <c r="AB18" s="301">
        <f ca="1">INDIRECT(AB17,0)</f>
        <v>140</v>
      </c>
      <c r="AC18" s="301">
        <v>9</v>
      </c>
      <c r="AD18" s="301">
        <f ca="1">INDIRECT(AD17,0)</f>
        <v>118</v>
      </c>
      <c r="AE18" s="301">
        <v>10</v>
      </c>
      <c r="AF18" s="301">
        <f ca="1">INDIRECT(AF17,0)</f>
        <v>103</v>
      </c>
      <c r="AG18" s="301">
        <v>11</v>
      </c>
      <c r="AH18" s="301">
        <f ca="1">INDIRECT(AH17,0)</f>
        <v>72</v>
      </c>
      <c r="AI18" s="301">
        <v>12</v>
      </c>
      <c r="AJ18" s="301">
        <f ca="1">INDIRECT(AJ17,0)</f>
        <v>56</v>
      </c>
      <c r="AK18" s="301">
        <v>13</v>
      </c>
      <c r="AL18" s="301">
        <f ca="1">INDIRECT(AL17,0)</f>
        <v>39</v>
      </c>
    </row>
    <row r="19" spans="1:38" x14ac:dyDescent="0.2">
      <c r="A19" s="301">
        <v>18</v>
      </c>
      <c r="B19" s="301" t="s">
        <v>235</v>
      </c>
      <c r="E19" s="413">
        <v>4</v>
      </c>
      <c r="F19" s="413"/>
      <c r="I19" s="309">
        <v>1.1499999999999999</v>
      </c>
      <c r="J19" s="302"/>
      <c r="L19" s="306">
        <v>5.0000000000000002E-5</v>
      </c>
      <c r="M19" s="307"/>
      <c r="N19" s="302">
        <v>9</v>
      </c>
      <c r="O19" s="302"/>
    </row>
    <row r="20" spans="1:38" x14ac:dyDescent="0.2">
      <c r="A20" s="301">
        <v>19</v>
      </c>
      <c r="B20" s="301" t="s">
        <v>236</v>
      </c>
      <c r="E20" s="413">
        <v>5</v>
      </c>
      <c r="F20" s="413"/>
      <c r="I20" s="309">
        <v>1.2</v>
      </c>
      <c r="J20" s="302"/>
      <c r="L20" s="306">
        <v>4.0000000000000003E-5</v>
      </c>
      <c r="M20" s="307"/>
      <c r="N20" s="302">
        <v>9.6</v>
      </c>
      <c r="O20" s="302"/>
    </row>
    <row r="21" spans="1:38" x14ac:dyDescent="0.2">
      <c r="A21" s="301">
        <v>20</v>
      </c>
      <c r="B21" s="301" t="s">
        <v>237</v>
      </c>
      <c r="L21" s="306">
        <v>3.0000000000000001E-5</v>
      </c>
      <c r="M21" s="307"/>
      <c r="N21" s="302">
        <v>10.199999999999999</v>
      </c>
      <c r="O21" s="302"/>
    </row>
    <row r="22" spans="1:38" x14ac:dyDescent="0.2">
      <c r="A22" s="301">
        <v>21</v>
      </c>
      <c r="B22" s="301" t="s">
        <v>238</v>
      </c>
      <c r="L22" s="306">
        <v>2.0000000000000002E-5</v>
      </c>
      <c r="M22" s="307"/>
      <c r="N22" s="302">
        <v>10.8</v>
      </c>
      <c r="O22" s="302"/>
    </row>
    <row r="23" spans="1:38" x14ac:dyDescent="0.2">
      <c r="A23" s="301">
        <v>22</v>
      </c>
      <c r="B23" s="301" t="s">
        <v>239</v>
      </c>
      <c r="E23" s="412" t="s">
        <v>206</v>
      </c>
      <c r="F23" s="413"/>
      <c r="G23" s="413"/>
      <c r="L23" s="306">
        <v>1.0000000000000001E-5</v>
      </c>
      <c r="M23" s="307"/>
      <c r="N23" s="302">
        <v>11.4</v>
      </c>
      <c r="O23" s="302"/>
    </row>
    <row r="24" spans="1:38" x14ac:dyDescent="0.2">
      <c r="A24" s="301">
        <v>23</v>
      </c>
      <c r="B24" s="301" t="s">
        <v>240</v>
      </c>
      <c r="E24" s="413">
        <v>1</v>
      </c>
      <c r="F24" s="413">
        <f>CHOOSE(G24,1,0.95,0.9,0.85,0.8,0.75,0.7,0.65,0.6,0.55,0.5,0.45,0.4,0.35,0.3,0.25,0.2,0.15,0.1)</f>
        <v>0.6</v>
      </c>
      <c r="G24" s="413">
        <v>9</v>
      </c>
      <c r="L24" s="306">
        <v>9.0000000000000002E-6</v>
      </c>
      <c r="M24" s="307"/>
      <c r="N24" s="302">
        <v>12</v>
      </c>
      <c r="O24" s="302"/>
    </row>
    <row r="25" spans="1:38" x14ac:dyDescent="0.2">
      <c r="A25" s="301">
        <v>24</v>
      </c>
      <c r="B25" s="301" t="s">
        <v>241</v>
      </c>
      <c r="E25" s="413">
        <v>0.95</v>
      </c>
      <c r="F25" s="413">
        <f t="shared" ref="F25:F30" si="0">CHOOSE(G25,1,0.95,0.9,0.85,0.8,0.75,0.7,0.65,0.6,0.55,0.5,0.45,0.4,0.35,0.3,0.25,0.2,0.15,0.1)</f>
        <v>0.6</v>
      </c>
      <c r="G25" s="413">
        <v>9</v>
      </c>
      <c r="L25" s="306">
        <v>7.9999999999999996E-6</v>
      </c>
      <c r="M25" s="307"/>
      <c r="N25" s="302">
        <v>12.6</v>
      </c>
      <c r="O25" s="302"/>
    </row>
    <row r="26" spans="1:38" x14ac:dyDescent="0.2">
      <c r="A26" s="301">
        <v>25</v>
      </c>
      <c r="B26" s="301" t="s">
        <v>242</v>
      </c>
      <c r="E26" s="413">
        <v>0.9</v>
      </c>
      <c r="F26" s="413">
        <f t="shared" si="0"/>
        <v>1</v>
      </c>
      <c r="G26" s="413">
        <v>1</v>
      </c>
      <c r="L26" s="306">
        <v>6.9999999999999999E-6</v>
      </c>
      <c r="M26" s="307"/>
      <c r="N26" s="302">
        <v>13.2</v>
      </c>
      <c r="O26" s="302"/>
    </row>
    <row r="27" spans="1:38" x14ac:dyDescent="0.2">
      <c r="A27" s="301">
        <v>26</v>
      </c>
      <c r="B27" s="301" t="s">
        <v>243</v>
      </c>
      <c r="E27" s="413">
        <v>0.85</v>
      </c>
      <c r="F27" s="413">
        <f t="shared" si="0"/>
        <v>1</v>
      </c>
      <c r="G27" s="413">
        <v>1</v>
      </c>
      <c r="L27" s="306">
        <v>6.0000000000000002E-6</v>
      </c>
      <c r="M27" s="307"/>
      <c r="N27" s="302">
        <v>13.8</v>
      </c>
      <c r="O27" s="302"/>
    </row>
    <row r="28" spans="1:38" x14ac:dyDescent="0.2">
      <c r="A28" s="301">
        <v>27</v>
      </c>
      <c r="B28" s="301" t="s">
        <v>244</v>
      </c>
      <c r="E28" s="413">
        <v>0.8</v>
      </c>
      <c r="F28" s="413">
        <f t="shared" si="0"/>
        <v>1</v>
      </c>
      <c r="G28" s="413">
        <v>1</v>
      </c>
      <c r="I28" s="308" t="s">
        <v>349</v>
      </c>
      <c r="J28" s="302">
        <v>5</v>
      </c>
      <c r="L28" s="306">
        <v>5.0000000000000004E-6</v>
      </c>
      <c r="M28" s="307"/>
      <c r="N28" s="302">
        <v>14.4</v>
      </c>
      <c r="O28" s="302"/>
    </row>
    <row r="29" spans="1:38" x14ac:dyDescent="0.2">
      <c r="A29" s="301">
        <v>28</v>
      </c>
      <c r="B29" s="301" t="s">
        <v>245</v>
      </c>
      <c r="E29" s="413">
        <v>0.75</v>
      </c>
      <c r="F29" s="413">
        <f t="shared" si="0"/>
        <v>1</v>
      </c>
      <c r="G29" s="413">
        <v>1</v>
      </c>
      <c r="I29" s="309" t="s">
        <v>350</v>
      </c>
      <c r="J29" s="302">
        <f>CHOOSE(J28,0.2,0.3,0.4,0.5,0.6)</f>
        <v>0.6</v>
      </c>
      <c r="L29" s="306">
        <v>3.9999999999999998E-6</v>
      </c>
      <c r="M29" s="307"/>
      <c r="N29" s="302">
        <v>15</v>
      </c>
      <c r="O29" s="302"/>
    </row>
    <row r="30" spans="1:38" x14ac:dyDescent="0.2">
      <c r="A30" s="301">
        <v>29</v>
      </c>
      <c r="B30" s="301" t="s">
        <v>246</v>
      </c>
      <c r="E30" s="413">
        <v>0.7</v>
      </c>
      <c r="F30" s="413">
        <f t="shared" si="0"/>
        <v>1</v>
      </c>
      <c r="G30" s="413">
        <v>1</v>
      </c>
      <c r="I30" s="309" t="s">
        <v>351</v>
      </c>
      <c r="J30" s="302"/>
      <c r="L30" s="306">
        <v>3.0000000000000001E-6</v>
      </c>
      <c r="M30" s="307"/>
      <c r="N30" s="302">
        <v>15.6</v>
      </c>
      <c r="O30" s="302"/>
    </row>
    <row r="31" spans="1:38" x14ac:dyDescent="0.2">
      <c r="A31" s="301">
        <v>30</v>
      </c>
      <c r="B31" s="301" t="s">
        <v>247</v>
      </c>
      <c r="E31" s="413">
        <v>0.65</v>
      </c>
      <c r="F31" s="413">
        <f>CHOOSE(G31,1,0.95,0.9,0.85,0.8,0.75,0.7,0.65,0.6,0.55,0.5,0.45,0.4,0.35,0.3,0.25,0.2,0.15,0.1)</f>
        <v>1</v>
      </c>
      <c r="G31" s="413">
        <v>1</v>
      </c>
      <c r="I31" s="309" t="s">
        <v>352</v>
      </c>
      <c r="J31" s="302"/>
      <c r="L31" s="306">
        <v>1.9999999999999999E-6</v>
      </c>
      <c r="M31" s="307"/>
      <c r="N31" s="302">
        <v>16.2</v>
      </c>
      <c r="O31" s="302"/>
    </row>
    <row r="32" spans="1:38" ht="15.75" thickBot="1" x14ac:dyDescent="0.25">
      <c r="A32" s="301">
        <v>31</v>
      </c>
      <c r="B32" s="301" t="s">
        <v>248</v>
      </c>
      <c r="E32" s="413">
        <v>0.6</v>
      </c>
      <c r="F32" s="413"/>
      <c r="G32" s="413"/>
      <c r="I32" s="309" t="s">
        <v>353</v>
      </c>
      <c r="J32" s="302"/>
      <c r="L32" s="306">
        <v>9.9999999999999995E-7</v>
      </c>
      <c r="M32" s="307"/>
      <c r="N32" s="302">
        <v>16.8</v>
      </c>
      <c r="O32" s="302"/>
    </row>
    <row r="33" spans="1:15" ht="15.75" thickBot="1" x14ac:dyDescent="0.25">
      <c r="A33" s="301">
        <v>32</v>
      </c>
      <c r="B33" s="301" t="s">
        <v>249</v>
      </c>
      <c r="E33" s="413">
        <v>0.55000000000000004</v>
      </c>
      <c r="F33" s="413"/>
      <c r="G33" s="413"/>
      <c r="I33" s="309" t="s">
        <v>336</v>
      </c>
      <c r="J33" s="302"/>
      <c r="L33" s="312" t="str">
        <f>'výpočet-ELWA SK Drenblok DB'!N30</f>
        <v>infiltrácia</v>
      </c>
      <c r="M33" s="307"/>
      <c r="N33" s="302">
        <v>17.399999999999999</v>
      </c>
      <c r="O33" s="302"/>
    </row>
    <row r="34" spans="1:15" x14ac:dyDescent="0.2">
      <c r="A34" s="301">
        <v>33</v>
      </c>
      <c r="B34" s="301" t="s">
        <v>250</v>
      </c>
      <c r="E34" s="413">
        <v>0.5</v>
      </c>
      <c r="F34" s="413"/>
      <c r="G34" s="413"/>
      <c r="L34" s="311"/>
      <c r="N34" s="310"/>
      <c r="O34" s="310"/>
    </row>
    <row r="35" spans="1:15" x14ac:dyDescent="0.2">
      <c r="A35" s="301">
        <v>34</v>
      </c>
      <c r="B35" s="301" t="s">
        <v>251</v>
      </c>
      <c r="E35" s="413">
        <v>0.45</v>
      </c>
      <c r="F35" s="413"/>
      <c r="G35" s="413"/>
      <c r="L35" s="311"/>
    </row>
    <row r="36" spans="1:15" x14ac:dyDescent="0.2">
      <c r="A36" s="301">
        <v>35</v>
      </c>
      <c r="B36" s="301" t="s">
        <v>253</v>
      </c>
      <c r="E36" s="413">
        <v>0.39999999999999902</v>
      </c>
      <c r="F36" s="413"/>
      <c r="G36" s="413"/>
      <c r="L36" s="311"/>
    </row>
    <row r="37" spans="1:15" x14ac:dyDescent="0.2">
      <c r="A37" s="301">
        <v>36</v>
      </c>
      <c r="B37" s="301" t="s">
        <v>252</v>
      </c>
      <c r="E37" s="413">
        <v>0.34999999999999898</v>
      </c>
      <c r="F37" s="413"/>
      <c r="G37" s="413"/>
      <c r="I37" s="412" t="s">
        <v>334</v>
      </c>
      <c r="J37" s="413">
        <v>7</v>
      </c>
      <c r="K37" s="413"/>
      <c r="L37" s="426" t="s">
        <v>414</v>
      </c>
      <c r="M37" s="413"/>
      <c r="N37" s="413"/>
      <c r="O37" s="413"/>
    </row>
    <row r="38" spans="1:15" x14ac:dyDescent="0.2">
      <c r="A38" s="301">
        <v>37</v>
      </c>
      <c r="B38" s="301" t="s">
        <v>254</v>
      </c>
      <c r="E38" s="413">
        <v>0.29999999999999899</v>
      </c>
      <c r="F38" s="413"/>
      <c r="G38" s="413"/>
      <c r="I38" s="413"/>
      <c r="J38" s="540" t="str">
        <f>CHOOSE(J37,J39,J40,J41,J42,J43,J44,J45)</f>
        <v>Ing.</v>
      </c>
      <c r="K38" s="541"/>
      <c r="L38" s="428"/>
      <c r="M38" s="413" t="str">
        <f>CHOOSE(J37,M39,M40,M41,M42,M43,M44,M45)</f>
        <v>e-mail:</v>
      </c>
      <c r="N38" s="413"/>
      <c r="O38" s="413"/>
    </row>
    <row r="39" spans="1:15" x14ac:dyDescent="0.2">
      <c r="A39" s="301">
        <v>38</v>
      </c>
      <c r="B39" s="301" t="s">
        <v>255</v>
      </c>
      <c r="E39" s="413">
        <v>0.249999999999999</v>
      </c>
      <c r="F39" s="413"/>
      <c r="G39" s="413"/>
      <c r="I39" s="412" t="s">
        <v>412</v>
      </c>
      <c r="J39" s="427" t="s">
        <v>461</v>
      </c>
      <c r="K39" s="428"/>
      <c r="L39" s="427">
        <v>1</v>
      </c>
      <c r="M39" s="429" t="s">
        <v>417</v>
      </c>
      <c r="N39" s="413"/>
      <c r="O39" s="413"/>
    </row>
    <row r="40" spans="1:15" x14ac:dyDescent="0.2">
      <c r="A40" s="301">
        <v>39</v>
      </c>
      <c r="B40" s="301" t="s">
        <v>256</v>
      </c>
      <c r="E40" s="413">
        <v>0.19999999999999901</v>
      </c>
      <c r="F40" s="413"/>
      <c r="G40" s="413"/>
      <c r="I40" s="412" t="s">
        <v>413</v>
      </c>
      <c r="J40" s="413" t="s">
        <v>462</v>
      </c>
      <c r="K40" s="413"/>
      <c r="L40" s="430">
        <v>2</v>
      </c>
      <c r="M40" s="429" t="s">
        <v>415</v>
      </c>
      <c r="N40" s="413"/>
      <c r="O40" s="413"/>
    </row>
    <row r="41" spans="1:15" x14ac:dyDescent="0.2">
      <c r="A41" s="301">
        <v>40</v>
      </c>
      <c r="B41" s="301" t="s">
        <v>257</v>
      </c>
      <c r="E41" s="413">
        <v>0.149999999999999</v>
      </c>
      <c r="F41" s="413"/>
      <c r="G41" s="413"/>
      <c r="I41" s="412" t="s">
        <v>454</v>
      </c>
      <c r="J41" s="413" t="s">
        <v>463</v>
      </c>
      <c r="K41" s="413"/>
      <c r="L41" s="413">
        <v>3</v>
      </c>
      <c r="M41" s="429" t="s">
        <v>458</v>
      </c>
      <c r="N41" s="413"/>
      <c r="O41" s="413"/>
    </row>
    <row r="42" spans="1:15" x14ac:dyDescent="0.2">
      <c r="A42" s="301">
        <v>41</v>
      </c>
      <c r="B42" s="301" t="s">
        <v>258</v>
      </c>
      <c r="E42" s="413">
        <v>9.9999999999999006E-2</v>
      </c>
      <c r="F42" s="413"/>
      <c r="G42" s="413"/>
      <c r="I42" s="412" t="s">
        <v>455</v>
      </c>
      <c r="J42" s="413" t="s">
        <v>464</v>
      </c>
      <c r="K42" s="413"/>
      <c r="L42" s="413">
        <v>4</v>
      </c>
      <c r="M42" s="429" t="s">
        <v>416</v>
      </c>
      <c r="N42" s="413"/>
      <c r="O42" s="413"/>
    </row>
    <row r="43" spans="1:15" x14ac:dyDescent="0.2">
      <c r="A43" s="301">
        <v>42</v>
      </c>
      <c r="B43" s="301" t="s">
        <v>259</v>
      </c>
      <c r="I43" s="412" t="s">
        <v>456</v>
      </c>
      <c r="J43" s="413" t="s">
        <v>465</v>
      </c>
      <c r="K43" s="413"/>
      <c r="L43" s="413">
        <v>5</v>
      </c>
      <c r="M43" s="429" t="s">
        <v>407</v>
      </c>
      <c r="N43" s="413"/>
      <c r="O43" s="413"/>
    </row>
    <row r="44" spans="1:15" x14ac:dyDescent="0.2">
      <c r="A44" s="301">
        <v>43</v>
      </c>
      <c r="B44" s="301" t="s">
        <v>260</v>
      </c>
      <c r="I44" s="412" t="s">
        <v>457</v>
      </c>
      <c r="J44" s="435" t="s">
        <v>466</v>
      </c>
      <c r="K44" s="413"/>
      <c r="L44" s="413">
        <v>6</v>
      </c>
      <c r="M44" s="429" t="s">
        <v>460</v>
      </c>
      <c r="N44" s="413"/>
      <c r="O44" s="413"/>
    </row>
    <row r="45" spans="1:15" x14ac:dyDescent="0.2">
      <c r="A45" s="301">
        <v>44</v>
      </c>
      <c r="B45" s="301" t="s">
        <v>261</v>
      </c>
      <c r="I45" s="412" t="s">
        <v>418</v>
      </c>
      <c r="J45" s="413" t="s">
        <v>419</v>
      </c>
      <c r="K45" s="413"/>
      <c r="L45" s="413">
        <v>7</v>
      </c>
      <c r="M45" s="413" t="s">
        <v>288</v>
      </c>
      <c r="N45" s="413"/>
      <c r="O45" s="413"/>
    </row>
    <row r="46" spans="1:15" x14ac:dyDescent="0.2">
      <c r="A46" s="301">
        <v>45</v>
      </c>
      <c r="B46" s="301" t="s">
        <v>262</v>
      </c>
      <c r="I46" s="413"/>
      <c r="J46" s="540" t="str">
        <f>CHOOSE(J37,J47,J48,J49,J50,J51,J52,J53)</f>
        <v>tel.:</v>
      </c>
      <c r="K46" s="428"/>
      <c r="L46" s="413"/>
      <c r="M46" s="413"/>
      <c r="N46" s="413"/>
      <c r="O46" s="413"/>
    </row>
    <row r="47" spans="1:15" x14ac:dyDescent="0.2">
      <c r="A47" s="301">
        <v>46</v>
      </c>
      <c r="B47" s="301" t="s">
        <v>264</v>
      </c>
      <c r="I47" s="413">
        <v>1</v>
      </c>
      <c r="J47" s="427" t="s">
        <v>467</v>
      </c>
      <c r="K47" s="428"/>
      <c r="L47" s="413"/>
      <c r="M47" s="413"/>
      <c r="N47" s="413"/>
      <c r="O47" s="413"/>
    </row>
    <row r="48" spans="1:15" x14ac:dyDescent="0.2">
      <c r="A48" s="301">
        <v>47</v>
      </c>
      <c r="B48" s="301" t="s">
        <v>263</v>
      </c>
      <c r="I48" s="413">
        <v>2</v>
      </c>
      <c r="J48" s="413" t="s">
        <v>468</v>
      </c>
      <c r="K48" s="413"/>
      <c r="L48" s="413"/>
      <c r="M48" s="413"/>
      <c r="N48" s="413"/>
      <c r="O48" s="413"/>
    </row>
    <row r="49" spans="1:15" x14ac:dyDescent="0.2">
      <c r="A49" s="301">
        <v>48</v>
      </c>
      <c r="B49" s="301" t="s">
        <v>265</v>
      </c>
      <c r="I49" s="413">
        <v>3</v>
      </c>
      <c r="J49" s="413" t="s">
        <v>469</v>
      </c>
      <c r="K49" s="413"/>
      <c r="L49" s="413"/>
      <c r="M49" s="413"/>
      <c r="N49" s="413"/>
      <c r="O49" s="413"/>
    </row>
    <row r="50" spans="1:15" x14ac:dyDescent="0.2">
      <c r="A50" s="301">
        <v>49</v>
      </c>
      <c r="B50" s="301" t="s">
        <v>266</v>
      </c>
      <c r="I50" s="413">
        <v>4</v>
      </c>
      <c r="J50" s="413" t="s">
        <v>470</v>
      </c>
      <c r="K50" s="413"/>
      <c r="L50" s="413"/>
      <c r="M50" s="413"/>
      <c r="N50" s="413"/>
      <c r="O50" s="413"/>
    </row>
    <row r="51" spans="1:15" x14ac:dyDescent="0.2">
      <c r="A51" s="301">
        <v>50</v>
      </c>
      <c r="B51" s="301" t="s">
        <v>267</v>
      </c>
      <c r="I51" s="413">
        <v>5</v>
      </c>
      <c r="J51" s="413" t="s">
        <v>471</v>
      </c>
      <c r="K51" s="413"/>
      <c r="L51" s="413"/>
      <c r="M51" s="413"/>
      <c r="N51" s="413"/>
      <c r="O51" s="413"/>
    </row>
    <row r="52" spans="1:15" x14ac:dyDescent="0.2">
      <c r="A52" s="301">
        <v>51</v>
      </c>
      <c r="B52" s="301" t="s">
        <v>268</v>
      </c>
      <c r="I52" s="413">
        <v>6</v>
      </c>
      <c r="J52" s="413" t="s">
        <v>472</v>
      </c>
      <c r="K52" s="413"/>
      <c r="L52" s="413"/>
      <c r="M52" s="413"/>
      <c r="N52" s="413"/>
      <c r="O52" s="413"/>
    </row>
    <row r="53" spans="1:15" x14ac:dyDescent="0.2">
      <c r="A53" s="301">
        <v>52</v>
      </c>
      <c r="B53" s="301" t="s">
        <v>269</v>
      </c>
      <c r="I53" s="413">
        <v>7</v>
      </c>
      <c r="J53" s="413" t="s">
        <v>459</v>
      </c>
      <c r="K53" s="413"/>
      <c r="L53" s="413"/>
      <c r="M53" s="413"/>
      <c r="N53" s="413"/>
      <c r="O53" s="413"/>
    </row>
    <row r="54" spans="1:15" x14ac:dyDescent="0.2">
      <c r="A54" s="301">
        <v>53</v>
      </c>
      <c r="B54" s="301" t="s">
        <v>270</v>
      </c>
    </row>
    <row r="55" spans="1:15" x14ac:dyDescent="0.2">
      <c r="A55" s="301">
        <v>54</v>
      </c>
      <c r="B55" s="301" t="s">
        <v>271</v>
      </c>
    </row>
    <row r="56" spans="1:15" x14ac:dyDescent="0.2">
      <c r="A56" s="301">
        <v>55</v>
      </c>
      <c r="B56" s="301" t="s">
        <v>272</v>
      </c>
    </row>
    <row r="57" spans="1:15" x14ac:dyDescent="0.2">
      <c r="A57" s="301">
        <v>56</v>
      </c>
      <c r="B57" s="301" t="s">
        <v>273</v>
      </c>
    </row>
    <row r="58" spans="1:15" x14ac:dyDescent="0.2">
      <c r="A58" s="301">
        <v>57</v>
      </c>
      <c r="B58" s="301" t="s">
        <v>274</v>
      </c>
    </row>
    <row r="59" spans="1:15" x14ac:dyDescent="0.2">
      <c r="A59" s="301">
        <v>58</v>
      </c>
      <c r="B59" s="301" t="s">
        <v>275</v>
      </c>
    </row>
    <row r="60" spans="1:15" x14ac:dyDescent="0.2">
      <c r="A60" s="301">
        <v>59</v>
      </c>
      <c r="B60" s="301" t="s">
        <v>276</v>
      </c>
    </row>
    <row r="61" spans="1:15" x14ac:dyDescent="0.2">
      <c r="A61" s="301">
        <v>60</v>
      </c>
      <c r="B61" s="301" t="s">
        <v>277</v>
      </c>
    </row>
    <row r="62" spans="1:15" x14ac:dyDescent="0.2">
      <c r="A62" s="301">
        <v>61</v>
      </c>
      <c r="B62" s="301" t="s">
        <v>278</v>
      </c>
    </row>
    <row r="63" spans="1:15" x14ac:dyDescent="0.2">
      <c r="A63" s="301">
        <v>62</v>
      </c>
      <c r="B63" s="301" t="s">
        <v>279</v>
      </c>
    </row>
    <row r="64" spans="1:15" x14ac:dyDescent="0.2">
      <c r="A64" s="301">
        <v>63</v>
      </c>
      <c r="B64" s="301" t="s">
        <v>280</v>
      </c>
    </row>
    <row r="65" spans="1:2" x14ac:dyDescent="0.2">
      <c r="A65" s="301">
        <v>64</v>
      </c>
      <c r="B65" s="301" t="s">
        <v>281</v>
      </c>
    </row>
    <row r="66" spans="1:2" x14ac:dyDescent="0.2">
      <c r="A66" s="301">
        <v>65</v>
      </c>
      <c r="B66" s="301" t="s">
        <v>282</v>
      </c>
    </row>
    <row r="67" spans="1:2" x14ac:dyDescent="0.2">
      <c r="A67" s="301">
        <v>66</v>
      </c>
      <c r="B67" s="301" t="s">
        <v>283</v>
      </c>
    </row>
    <row r="68" spans="1:2" x14ac:dyDescent="0.2">
      <c r="A68" s="301">
        <v>67</v>
      </c>
      <c r="B68" s="301" t="s">
        <v>284</v>
      </c>
    </row>
    <row r="69" spans="1:2" x14ac:dyDescent="0.2">
      <c r="A69" s="301">
        <v>68</v>
      </c>
      <c r="B69" s="301" t="s">
        <v>285</v>
      </c>
    </row>
  </sheetData>
  <customSheetViews>
    <customSheetView guid="{951B81EE-4F73-49C3-86F4-B36C01E7586C}" state="hidden" topLeftCell="B31">
      <selection activeCell="J45" sqref="J45"/>
      <pageMargins left="0.75" right="0.75" top="1" bottom="1" header="0.4921259845" footer="0.4921259845"/>
      <pageSetup paperSize="9" orientation="portrait" r:id="rId1"/>
      <headerFooter alignWithMargins="0"/>
    </customSheetView>
  </customSheetViews>
  <phoneticPr fontId="0" type="noConversion"/>
  <hyperlinks>
    <hyperlink ref="M39" r:id="rId2" xr:uid="{00000000-0004-0000-0100-000000000000}"/>
    <hyperlink ref="M40" r:id="rId3" xr:uid="{00000000-0004-0000-0100-000001000000}"/>
    <hyperlink ref="M41" r:id="rId4" xr:uid="{00000000-0004-0000-0100-000002000000}"/>
    <hyperlink ref="M42" r:id="rId5" xr:uid="{00000000-0004-0000-0100-000003000000}"/>
    <hyperlink ref="M43" r:id="rId6" xr:uid="{00000000-0004-0000-0100-000004000000}"/>
    <hyperlink ref="M44" r:id="rId7" xr:uid="{00000000-0004-0000-0100-000005000000}"/>
  </hyperlinks>
  <pageMargins left="0.75" right="0.75" top="1" bottom="1" header="0.4921259845" footer="0.4921259845"/>
  <pageSetup paperSize="9" orientation="portrait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680"/>
  <sheetViews>
    <sheetView topLeftCell="A82" zoomScaleNormal="100" workbookViewId="0">
      <selection activeCell="D26" sqref="D26"/>
    </sheetView>
  </sheetViews>
  <sheetFormatPr defaultRowHeight="12.75" x14ac:dyDescent="0.2"/>
  <sheetData>
    <row r="1" spans="1:13" x14ac:dyDescent="0.2">
      <c r="A1">
        <v>1</v>
      </c>
      <c r="B1" t="s">
        <v>116</v>
      </c>
      <c r="E1" t="s">
        <v>117</v>
      </c>
    </row>
    <row r="2" spans="1:13" x14ac:dyDescent="0.2">
      <c r="B2" t="s">
        <v>52</v>
      </c>
      <c r="C2">
        <v>5</v>
      </c>
      <c r="D2">
        <v>10</v>
      </c>
      <c r="E2">
        <v>15</v>
      </c>
      <c r="F2">
        <v>20</v>
      </c>
      <c r="G2">
        <v>30</v>
      </c>
      <c r="H2">
        <v>40</v>
      </c>
      <c r="I2">
        <v>50</v>
      </c>
      <c r="J2">
        <v>60</v>
      </c>
      <c r="K2">
        <v>90</v>
      </c>
      <c r="L2">
        <v>120</v>
      </c>
      <c r="M2">
        <v>180</v>
      </c>
    </row>
    <row r="3" spans="1:13" x14ac:dyDescent="0.2">
      <c r="B3">
        <v>1</v>
      </c>
      <c r="C3">
        <v>222</v>
      </c>
      <c r="D3">
        <v>156</v>
      </c>
      <c r="E3">
        <v>124</v>
      </c>
      <c r="F3">
        <v>102</v>
      </c>
      <c r="G3">
        <v>77</v>
      </c>
      <c r="H3">
        <v>62</v>
      </c>
      <c r="I3">
        <v>52</v>
      </c>
      <c r="J3">
        <v>45</v>
      </c>
      <c r="K3">
        <v>33</v>
      </c>
      <c r="L3">
        <v>26</v>
      </c>
      <c r="M3">
        <v>18</v>
      </c>
    </row>
    <row r="4" spans="1:13" x14ac:dyDescent="0.2">
      <c r="B4">
        <v>0.5</v>
      </c>
      <c r="C4">
        <v>253</v>
      </c>
      <c r="D4">
        <v>181</v>
      </c>
      <c r="E4">
        <v>144</v>
      </c>
      <c r="F4">
        <v>120</v>
      </c>
      <c r="G4">
        <v>91</v>
      </c>
      <c r="H4">
        <v>74</v>
      </c>
      <c r="I4">
        <v>64</v>
      </c>
      <c r="J4">
        <v>55</v>
      </c>
      <c r="K4">
        <v>40</v>
      </c>
      <c r="L4">
        <v>31</v>
      </c>
      <c r="M4">
        <v>22</v>
      </c>
    </row>
    <row r="5" spans="1:13" x14ac:dyDescent="0.2">
      <c r="B5">
        <v>0.2</v>
      </c>
      <c r="C5">
        <v>288</v>
      </c>
      <c r="D5">
        <v>212</v>
      </c>
      <c r="E5">
        <v>170</v>
      </c>
      <c r="F5">
        <v>142</v>
      </c>
      <c r="G5">
        <v>111</v>
      </c>
      <c r="H5">
        <v>91</v>
      </c>
      <c r="I5">
        <v>78</v>
      </c>
      <c r="J5">
        <v>67</v>
      </c>
      <c r="K5">
        <v>49</v>
      </c>
      <c r="L5">
        <v>39</v>
      </c>
      <c r="M5">
        <v>28</v>
      </c>
    </row>
    <row r="6" spans="1:13" x14ac:dyDescent="0.2">
      <c r="B6">
        <v>0.1</v>
      </c>
      <c r="C6">
        <v>310</v>
      </c>
      <c r="D6">
        <v>233</v>
      </c>
      <c r="E6">
        <v>189</v>
      </c>
      <c r="F6">
        <v>160</v>
      </c>
      <c r="G6">
        <v>126</v>
      </c>
      <c r="H6">
        <v>105</v>
      </c>
      <c r="I6">
        <v>89</v>
      </c>
      <c r="J6">
        <v>79</v>
      </c>
      <c r="K6">
        <v>57</v>
      </c>
      <c r="L6">
        <v>45</v>
      </c>
      <c r="M6">
        <v>32</v>
      </c>
    </row>
    <row r="7" spans="1:13" x14ac:dyDescent="0.2">
      <c r="B7">
        <v>0.05</v>
      </c>
      <c r="C7">
        <v>330</v>
      </c>
      <c r="D7">
        <v>251</v>
      </c>
      <c r="E7">
        <v>202</v>
      </c>
      <c r="F7">
        <v>174</v>
      </c>
      <c r="G7">
        <v>139</v>
      </c>
      <c r="H7">
        <v>115</v>
      </c>
      <c r="I7">
        <v>98</v>
      </c>
      <c r="J7">
        <v>86</v>
      </c>
      <c r="K7">
        <v>64</v>
      </c>
      <c r="L7">
        <v>52</v>
      </c>
      <c r="M7">
        <v>38</v>
      </c>
    </row>
    <row r="8" spans="1:13" x14ac:dyDescent="0.2">
      <c r="B8">
        <v>3.3000000000000002E-2</v>
      </c>
      <c r="C8">
        <v>345</v>
      </c>
      <c r="D8">
        <v>265</v>
      </c>
      <c r="E8">
        <v>209</v>
      </c>
      <c r="F8">
        <v>187</v>
      </c>
      <c r="G8">
        <v>147</v>
      </c>
      <c r="H8">
        <v>122</v>
      </c>
      <c r="I8">
        <v>104</v>
      </c>
      <c r="J8">
        <v>92</v>
      </c>
      <c r="K8">
        <v>70</v>
      </c>
      <c r="L8">
        <v>56</v>
      </c>
      <c r="M8">
        <v>40</v>
      </c>
    </row>
    <row r="9" spans="1:13" x14ac:dyDescent="0.2">
      <c r="B9">
        <v>0.02</v>
      </c>
      <c r="C9">
        <v>358.8</v>
      </c>
      <c r="D9">
        <v>278.25</v>
      </c>
      <c r="E9">
        <v>221.54</v>
      </c>
      <c r="F9">
        <v>198.22</v>
      </c>
      <c r="G9">
        <v>155.82</v>
      </c>
      <c r="H9">
        <v>129.32</v>
      </c>
      <c r="I9">
        <v>110.24</v>
      </c>
      <c r="J9">
        <v>97.52</v>
      </c>
      <c r="K9">
        <v>74.2</v>
      </c>
      <c r="L9">
        <v>59.92</v>
      </c>
      <c r="M9">
        <v>42.8</v>
      </c>
    </row>
    <row r="10" spans="1:13" x14ac:dyDescent="0.2">
      <c r="B10">
        <v>0.01</v>
      </c>
      <c r="C10">
        <v>376.05</v>
      </c>
      <c r="D10">
        <v>291.5</v>
      </c>
      <c r="E10">
        <v>244</v>
      </c>
      <c r="F10">
        <v>207.57</v>
      </c>
      <c r="G10">
        <v>163.16999999999999</v>
      </c>
      <c r="H10">
        <v>136.63999999999999</v>
      </c>
      <c r="I10">
        <v>120</v>
      </c>
      <c r="J10">
        <v>108</v>
      </c>
      <c r="K10">
        <v>79.099999999999994</v>
      </c>
      <c r="L10">
        <v>63.28</v>
      </c>
      <c r="M10">
        <v>45.6</v>
      </c>
    </row>
    <row r="11" spans="1:13" x14ac:dyDescent="0.2">
      <c r="A11">
        <v>2</v>
      </c>
      <c r="B11" t="s">
        <v>118</v>
      </c>
      <c r="E11" t="s">
        <v>117</v>
      </c>
    </row>
    <row r="12" spans="1:13" x14ac:dyDescent="0.2">
      <c r="B12" t="s">
        <v>52</v>
      </c>
      <c r="C12">
        <v>5</v>
      </c>
      <c r="D12">
        <v>10</v>
      </c>
      <c r="E12">
        <v>15</v>
      </c>
      <c r="F12">
        <v>20</v>
      </c>
      <c r="G12">
        <v>30</v>
      </c>
      <c r="H12">
        <v>40</v>
      </c>
      <c r="I12">
        <v>50</v>
      </c>
      <c r="J12">
        <v>60</v>
      </c>
      <c r="K12">
        <v>90</v>
      </c>
      <c r="L12">
        <v>120</v>
      </c>
      <c r="M12">
        <v>180</v>
      </c>
    </row>
    <row r="13" spans="1:13" x14ac:dyDescent="0.2">
      <c r="B13">
        <v>1</v>
      </c>
      <c r="C13">
        <v>270</v>
      </c>
      <c r="D13">
        <v>188</v>
      </c>
      <c r="E13">
        <v>147</v>
      </c>
      <c r="F13">
        <v>121</v>
      </c>
      <c r="G13">
        <v>91</v>
      </c>
      <c r="H13">
        <v>74</v>
      </c>
      <c r="I13">
        <v>62</v>
      </c>
      <c r="J13">
        <v>54</v>
      </c>
      <c r="K13">
        <v>39</v>
      </c>
      <c r="L13">
        <v>30</v>
      </c>
      <c r="M13">
        <v>21</v>
      </c>
    </row>
    <row r="14" spans="1:13" x14ac:dyDescent="0.2">
      <c r="B14">
        <v>0.5</v>
      </c>
      <c r="C14">
        <v>303</v>
      </c>
      <c r="D14">
        <v>218</v>
      </c>
      <c r="E14">
        <v>173</v>
      </c>
      <c r="F14">
        <v>144</v>
      </c>
      <c r="G14">
        <v>110</v>
      </c>
      <c r="H14">
        <v>90</v>
      </c>
      <c r="I14">
        <v>76</v>
      </c>
      <c r="J14">
        <v>66</v>
      </c>
      <c r="K14">
        <v>48</v>
      </c>
      <c r="L14">
        <v>38</v>
      </c>
      <c r="M14">
        <v>27</v>
      </c>
    </row>
    <row r="15" spans="1:13" x14ac:dyDescent="0.2">
      <c r="B15">
        <v>0.2</v>
      </c>
      <c r="C15">
        <v>350</v>
      </c>
      <c r="D15">
        <v>262</v>
      </c>
      <c r="E15">
        <v>212</v>
      </c>
      <c r="F15">
        <v>178</v>
      </c>
      <c r="G15">
        <v>136</v>
      </c>
      <c r="H15">
        <v>112</v>
      </c>
      <c r="I15">
        <v>94</v>
      </c>
      <c r="J15">
        <v>82</v>
      </c>
      <c r="K15">
        <v>60</v>
      </c>
      <c r="L15">
        <v>47</v>
      </c>
      <c r="M15">
        <v>33</v>
      </c>
    </row>
    <row r="16" spans="1:13" x14ac:dyDescent="0.2">
      <c r="B16">
        <v>0.1</v>
      </c>
      <c r="C16">
        <v>383</v>
      </c>
      <c r="D16">
        <v>299</v>
      </c>
      <c r="E16">
        <v>241</v>
      </c>
      <c r="F16">
        <v>203</v>
      </c>
      <c r="G16">
        <v>157</v>
      </c>
      <c r="H16">
        <v>129</v>
      </c>
      <c r="I16">
        <v>109</v>
      </c>
      <c r="J16">
        <v>95</v>
      </c>
      <c r="K16">
        <v>70</v>
      </c>
      <c r="L16">
        <v>55</v>
      </c>
      <c r="M16">
        <v>39</v>
      </c>
    </row>
    <row r="17" spans="1:13" x14ac:dyDescent="0.2">
      <c r="B17">
        <v>0.05</v>
      </c>
      <c r="C17">
        <v>400</v>
      </c>
      <c r="D17">
        <v>320</v>
      </c>
      <c r="E17">
        <v>260</v>
      </c>
      <c r="F17">
        <v>222</v>
      </c>
      <c r="G17">
        <v>173</v>
      </c>
      <c r="H17">
        <v>143</v>
      </c>
      <c r="I17">
        <v>122</v>
      </c>
      <c r="J17">
        <v>107</v>
      </c>
      <c r="K17">
        <v>78</v>
      </c>
      <c r="L17">
        <v>62</v>
      </c>
      <c r="M17">
        <v>44</v>
      </c>
    </row>
    <row r="18" spans="1:13" x14ac:dyDescent="0.2">
      <c r="B18">
        <v>3.3000000000000002E-2</v>
      </c>
      <c r="C18">
        <v>425</v>
      </c>
      <c r="D18">
        <v>338</v>
      </c>
      <c r="E18">
        <v>277</v>
      </c>
      <c r="F18">
        <v>238</v>
      </c>
      <c r="G18">
        <v>189</v>
      </c>
      <c r="H18">
        <v>160</v>
      </c>
      <c r="I18">
        <v>137</v>
      </c>
      <c r="J18">
        <v>120</v>
      </c>
      <c r="K18">
        <v>87</v>
      </c>
      <c r="L18">
        <v>69</v>
      </c>
      <c r="M18">
        <v>47</v>
      </c>
    </row>
    <row r="19" spans="1:13" x14ac:dyDescent="0.2">
      <c r="B19">
        <v>0.02</v>
      </c>
      <c r="C19">
        <v>442</v>
      </c>
      <c r="D19">
        <v>354.9</v>
      </c>
      <c r="E19">
        <v>293.62</v>
      </c>
      <c r="F19">
        <v>252.28</v>
      </c>
      <c r="G19">
        <v>200.34</v>
      </c>
      <c r="H19">
        <v>169.6</v>
      </c>
      <c r="I19">
        <v>145.22</v>
      </c>
      <c r="J19">
        <v>127.2</v>
      </c>
      <c r="K19">
        <v>92.22</v>
      </c>
      <c r="L19">
        <v>73.83</v>
      </c>
      <c r="M19">
        <v>50.29</v>
      </c>
    </row>
    <row r="20" spans="1:13" x14ac:dyDescent="0.2">
      <c r="B20">
        <v>0.01</v>
      </c>
      <c r="C20">
        <v>463.25</v>
      </c>
      <c r="D20">
        <v>371.8</v>
      </c>
      <c r="E20">
        <v>307.47000000000003</v>
      </c>
      <c r="F20">
        <v>264.18</v>
      </c>
      <c r="G20">
        <v>209.79</v>
      </c>
      <c r="H20">
        <v>179.2</v>
      </c>
      <c r="I20">
        <v>153.44</v>
      </c>
      <c r="J20">
        <v>134.4</v>
      </c>
      <c r="K20">
        <v>98.31</v>
      </c>
      <c r="L20">
        <v>77.97</v>
      </c>
      <c r="M20">
        <v>53.58</v>
      </c>
    </row>
    <row r="21" spans="1:13" x14ac:dyDescent="0.2">
      <c r="A21">
        <v>3</v>
      </c>
      <c r="B21" t="s">
        <v>112</v>
      </c>
      <c r="E21" t="s">
        <v>117</v>
      </c>
    </row>
    <row r="22" spans="1:13" x14ac:dyDescent="0.2">
      <c r="B22" t="s">
        <v>52</v>
      </c>
      <c r="C22">
        <v>5</v>
      </c>
      <c r="D22">
        <v>10</v>
      </c>
      <c r="E22">
        <v>15</v>
      </c>
      <c r="F22">
        <v>20</v>
      </c>
      <c r="G22">
        <v>30</v>
      </c>
      <c r="H22">
        <v>40</v>
      </c>
      <c r="I22">
        <v>50</v>
      </c>
      <c r="J22">
        <v>60</v>
      </c>
      <c r="K22">
        <v>90</v>
      </c>
      <c r="L22">
        <v>120</v>
      </c>
      <c r="M22">
        <v>180</v>
      </c>
    </row>
    <row r="23" spans="1:13" x14ac:dyDescent="0.2">
      <c r="B23">
        <v>1</v>
      </c>
      <c r="C23">
        <v>224</v>
      </c>
      <c r="D23">
        <v>151</v>
      </c>
      <c r="E23">
        <v>117</v>
      </c>
      <c r="F23">
        <v>96</v>
      </c>
      <c r="G23">
        <v>72</v>
      </c>
      <c r="H23">
        <v>58</v>
      </c>
      <c r="I23">
        <v>49</v>
      </c>
      <c r="J23">
        <v>42</v>
      </c>
      <c r="K23">
        <v>30</v>
      </c>
      <c r="L23">
        <v>24</v>
      </c>
      <c r="M23">
        <v>17</v>
      </c>
    </row>
    <row r="24" spans="1:13" x14ac:dyDescent="0.2">
      <c r="B24">
        <v>0.5</v>
      </c>
      <c r="C24">
        <v>274</v>
      </c>
      <c r="D24">
        <v>184</v>
      </c>
      <c r="E24">
        <v>142</v>
      </c>
      <c r="F24">
        <v>117</v>
      </c>
      <c r="G24">
        <v>88</v>
      </c>
      <c r="H24">
        <v>71</v>
      </c>
      <c r="I24">
        <v>60</v>
      </c>
      <c r="J24">
        <v>52</v>
      </c>
      <c r="K24">
        <v>36</v>
      </c>
      <c r="L24">
        <v>28</v>
      </c>
      <c r="M24">
        <v>20</v>
      </c>
    </row>
    <row r="25" spans="1:13" x14ac:dyDescent="0.2">
      <c r="B25">
        <v>0.2</v>
      </c>
      <c r="C25">
        <v>345</v>
      </c>
      <c r="D25">
        <v>233</v>
      </c>
      <c r="E25">
        <v>180</v>
      </c>
      <c r="F25">
        <v>147</v>
      </c>
      <c r="G25">
        <v>110</v>
      </c>
      <c r="H25">
        <v>88</v>
      </c>
      <c r="I25">
        <v>74</v>
      </c>
      <c r="J25">
        <v>64</v>
      </c>
      <c r="K25">
        <v>46</v>
      </c>
      <c r="L25">
        <v>36</v>
      </c>
      <c r="M25">
        <v>25</v>
      </c>
    </row>
    <row r="26" spans="1:13" x14ac:dyDescent="0.2">
      <c r="B26">
        <v>0.1</v>
      </c>
      <c r="C26">
        <v>391</v>
      </c>
      <c r="D26">
        <v>267</v>
      </c>
      <c r="E26">
        <v>209</v>
      </c>
      <c r="F26">
        <v>172</v>
      </c>
      <c r="G26">
        <v>128</v>
      </c>
      <c r="H26">
        <v>103</v>
      </c>
      <c r="I26">
        <v>86</v>
      </c>
      <c r="J26">
        <v>74</v>
      </c>
      <c r="K26">
        <v>52</v>
      </c>
      <c r="L26">
        <v>41</v>
      </c>
      <c r="M26">
        <v>28</v>
      </c>
    </row>
    <row r="27" spans="1:13" x14ac:dyDescent="0.2">
      <c r="B27">
        <v>0.05</v>
      </c>
      <c r="C27">
        <v>434</v>
      </c>
      <c r="D27">
        <v>298</v>
      </c>
      <c r="E27">
        <v>233</v>
      </c>
      <c r="F27">
        <v>192</v>
      </c>
      <c r="G27">
        <v>145</v>
      </c>
      <c r="H27">
        <v>116</v>
      </c>
      <c r="I27">
        <v>96</v>
      </c>
      <c r="J27">
        <v>82</v>
      </c>
      <c r="K27">
        <v>57</v>
      </c>
      <c r="L27">
        <v>45</v>
      </c>
      <c r="M27">
        <v>31</v>
      </c>
    </row>
    <row r="28" spans="1:13" x14ac:dyDescent="0.2">
      <c r="B28">
        <v>3.3000000000000002E-2</v>
      </c>
      <c r="C28">
        <v>454</v>
      </c>
      <c r="D28">
        <v>316</v>
      </c>
      <c r="E28">
        <v>250</v>
      </c>
      <c r="F28">
        <v>205</v>
      </c>
      <c r="G28">
        <v>155</v>
      </c>
      <c r="H28">
        <v>126</v>
      </c>
      <c r="I28">
        <v>104</v>
      </c>
      <c r="J28">
        <v>90</v>
      </c>
      <c r="K28">
        <v>64</v>
      </c>
      <c r="L28">
        <v>50</v>
      </c>
      <c r="M28">
        <v>34</v>
      </c>
    </row>
    <row r="29" spans="1:13" x14ac:dyDescent="0.2">
      <c r="B29">
        <v>0.02</v>
      </c>
      <c r="C29">
        <v>464</v>
      </c>
      <c r="D29">
        <v>328</v>
      </c>
      <c r="E29">
        <v>258</v>
      </c>
      <c r="F29">
        <v>212</v>
      </c>
      <c r="G29">
        <v>160</v>
      </c>
      <c r="H29">
        <v>131</v>
      </c>
      <c r="I29">
        <v>110</v>
      </c>
      <c r="J29">
        <v>95</v>
      </c>
      <c r="K29">
        <v>67</v>
      </c>
      <c r="L29">
        <v>53</v>
      </c>
      <c r="M29">
        <v>37</v>
      </c>
    </row>
    <row r="30" spans="1:13" x14ac:dyDescent="0.2">
      <c r="B30">
        <v>0.01</v>
      </c>
      <c r="C30">
        <v>478</v>
      </c>
      <c r="D30">
        <v>339</v>
      </c>
      <c r="E30">
        <v>269</v>
      </c>
      <c r="F30">
        <v>222</v>
      </c>
      <c r="G30">
        <v>170</v>
      </c>
      <c r="H30">
        <v>140</v>
      </c>
      <c r="I30">
        <v>118</v>
      </c>
      <c r="J30">
        <v>103</v>
      </c>
      <c r="K30">
        <v>72</v>
      </c>
      <c r="L30">
        <v>56</v>
      </c>
      <c r="M30">
        <v>39</v>
      </c>
    </row>
    <row r="31" spans="1:13" x14ac:dyDescent="0.2">
      <c r="A31">
        <v>4</v>
      </c>
      <c r="B31" t="s">
        <v>119</v>
      </c>
      <c r="E31" t="s">
        <v>117</v>
      </c>
    </row>
    <row r="32" spans="1:13" x14ac:dyDescent="0.2">
      <c r="B32" t="s">
        <v>52</v>
      </c>
      <c r="C32">
        <v>5</v>
      </c>
      <c r="D32">
        <v>10</v>
      </c>
      <c r="E32">
        <v>15</v>
      </c>
      <c r="F32">
        <v>20</v>
      </c>
      <c r="G32">
        <v>30</v>
      </c>
      <c r="H32">
        <v>40</v>
      </c>
      <c r="I32">
        <v>50</v>
      </c>
      <c r="J32">
        <v>60</v>
      </c>
      <c r="K32">
        <v>90</v>
      </c>
      <c r="L32">
        <v>120</v>
      </c>
      <c r="M32">
        <v>180</v>
      </c>
    </row>
    <row r="33" spans="1:13" x14ac:dyDescent="0.2">
      <c r="B33">
        <v>1</v>
      </c>
      <c r="C33">
        <v>233</v>
      </c>
      <c r="D33">
        <v>162</v>
      </c>
      <c r="E33">
        <v>127</v>
      </c>
      <c r="F33">
        <v>104</v>
      </c>
      <c r="G33">
        <v>79</v>
      </c>
      <c r="H33">
        <v>64</v>
      </c>
      <c r="I33">
        <v>54</v>
      </c>
      <c r="J33">
        <v>46</v>
      </c>
      <c r="K33">
        <v>33</v>
      </c>
      <c r="L33">
        <v>26</v>
      </c>
      <c r="M33">
        <v>19</v>
      </c>
    </row>
    <row r="34" spans="1:13" x14ac:dyDescent="0.2">
      <c r="B34">
        <v>0.5</v>
      </c>
      <c r="C34">
        <v>273</v>
      </c>
      <c r="D34">
        <v>196</v>
      </c>
      <c r="E34">
        <v>155</v>
      </c>
      <c r="F34">
        <v>130</v>
      </c>
      <c r="G34">
        <v>98</v>
      </c>
      <c r="H34">
        <v>79</v>
      </c>
      <c r="I34">
        <v>66</v>
      </c>
      <c r="J34">
        <v>58</v>
      </c>
      <c r="K34">
        <v>41</v>
      </c>
      <c r="L34">
        <v>32</v>
      </c>
      <c r="M34">
        <v>23</v>
      </c>
    </row>
    <row r="35" spans="1:13" x14ac:dyDescent="0.2">
      <c r="B35">
        <v>0.2</v>
      </c>
      <c r="C35">
        <v>327</v>
      </c>
      <c r="D35">
        <v>238</v>
      </c>
      <c r="E35">
        <v>188</v>
      </c>
      <c r="F35">
        <v>158</v>
      </c>
      <c r="G35">
        <v>120</v>
      </c>
      <c r="H35">
        <v>98</v>
      </c>
      <c r="I35">
        <v>83</v>
      </c>
      <c r="J35">
        <v>72</v>
      </c>
      <c r="K35">
        <v>52</v>
      </c>
      <c r="L35">
        <v>42</v>
      </c>
      <c r="M35">
        <v>30</v>
      </c>
    </row>
    <row r="36" spans="1:13" x14ac:dyDescent="0.2">
      <c r="B36">
        <v>0.1</v>
      </c>
      <c r="C36">
        <v>372</v>
      </c>
      <c r="D36">
        <v>271</v>
      </c>
      <c r="E36">
        <v>218</v>
      </c>
      <c r="F36">
        <v>185</v>
      </c>
      <c r="G36">
        <v>142</v>
      </c>
      <c r="H36">
        <v>117</v>
      </c>
      <c r="I36">
        <v>99</v>
      </c>
      <c r="J36">
        <v>87</v>
      </c>
      <c r="K36">
        <v>64</v>
      </c>
      <c r="L36">
        <v>51</v>
      </c>
      <c r="M36">
        <v>37</v>
      </c>
    </row>
    <row r="37" spans="1:13" x14ac:dyDescent="0.2">
      <c r="B37">
        <v>0.05</v>
      </c>
      <c r="C37">
        <v>405</v>
      </c>
      <c r="D37">
        <v>301</v>
      </c>
      <c r="E37">
        <v>249</v>
      </c>
      <c r="F37">
        <v>211</v>
      </c>
      <c r="G37">
        <v>165</v>
      </c>
      <c r="H37">
        <v>137</v>
      </c>
      <c r="I37">
        <v>117</v>
      </c>
      <c r="J37">
        <v>102</v>
      </c>
      <c r="K37">
        <v>76</v>
      </c>
      <c r="L37">
        <v>60</v>
      </c>
      <c r="M37">
        <v>44</v>
      </c>
    </row>
    <row r="38" spans="1:13" x14ac:dyDescent="0.2">
      <c r="B38">
        <v>3.3000000000000002E-2</v>
      </c>
      <c r="C38">
        <v>427</v>
      </c>
      <c r="D38">
        <v>325</v>
      </c>
      <c r="E38">
        <v>269</v>
      </c>
      <c r="F38">
        <v>230</v>
      </c>
      <c r="G38">
        <v>181</v>
      </c>
      <c r="H38">
        <v>150</v>
      </c>
      <c r="I38">
        <v>128</v>
      </c>
      <c r="J38">
        <v>113</v>
      </c>
      <c r="K38">
        <v>84</v>
      </c>
      <c r="L38">
        <v>68</v>
      </c>
      <c r="M38">
        <v>49</v>
      </c>
    </row>
    <row r="39" spans="1:13" x14ac:dyDescent="0.2">
      <c r="B39">
        <v>0.02</v>
      </c>
      <c r="C39">
        <v>444.08</v>
      </c>
      <c r="D39">
        <v>341.25</v>
      </c>
      <c r="E39">
        <v>285.14</v>
      </c>
      <c r="F39">
        <v>243.8</v>
      </c>
      <c r="G39">
        <v>191.86</v>
      </c>
      <c r="H39">
        <v>159</v>
      </c>
      <c r="I39">
        <v>135.68</v>
      </c>
      <c r="J39">
        <v>119.78</v>
      </c>
      <c r="K39">
        <v>89.04</v>
      </c>
      <c r="L39">
        <v>72.760000000000005</v>
      </c>
      <c r="M39">
        <v>52.43</v>
      </c>
    </row>
    <row r="40" spans="1:13" x14ac:dyDescent="0.2">
      <c r="B40">
        <v>0.01</v>
      </c>
      <c r="C40">
        <v>465.43</v>
      </c>
      <c r="D40">
        <v>357.5</v>
      </c>
      <c r="E40">
        <v>298.58999999999997</v>
      </c>
      <c r="F40">
        <v>255.3</v>
      </c>
      <c r="G40">
        <v>200.91</v>
      </c>
      <c r="H40">
        <v>168</v>
      </c>
      <c r="I40">
        <v>143.36000000000001</v>
      </c>
      <c r="J40">
        <v>126.56</v>
      </c>
      <c r="K40">
        <v>94.92</v>
      </c>
      <c r="L40">
        <v>76.84</v>
      </c>
      <c r="M40">
        <v>55.86</v>
      </c>
    </row>
    <row r="41" spans="1:13" x14ac:dyDescent="0.2">
      <c r="A41">
        <v>5</v>
      </c>
      <c r="B41" t="s">
        <v>120</v>
      </c>
      <c r="E41" t="s">
        <v>117</v>
      </c>
    </row>
    <row r="42" spans="1:13" x14ac:dyDescent="0.2">
      <c r="B42" t="s">
        <v>52</v>
      </c>
      <c r="C42">
        <v>5</v>
      </c>
      <c r="D42">
        <v>10</v>
      </c>
      <c r="E42">
        <v>15</v>
      </c>
      <c r="F42">
        <v>20</v>
      </c>
      <c r="G42">
        <v>30</v>
      </c>
      <c r="H42">
        <v>40</v>
      </c>
      <c r="I42">
        <v>50</v>
      </c>
      <c r="J42">
        <v>60</v>
      </c>
      <c r="K42">
        <v>90</v>
      </c>
      <c r="L42">
        <v>120</v>
      </c>
      <c r="M42">
        <v>180</v>
      </c>
    </row>
    <row r="43" spans="1:13" x14ac:dyDescent="0.2">
      <c r="B43">
        <v>1</v>
      </c>
      <c r="C43">
        <v>265</v>
      </c>
      <c r="D43">
        <v>181</v>
      </c>
      <c r="E43">
        <v>138</v>
      </c>
      <c r="F43">
        <v>114</v>
      </c>
      <c r="G43">
        <v>84</v>
      </c>
      <c r="H43">
        <v>67</v>
      </c>
      <c r="I43">
        <v>56</v>
      </c>
      <c r="J43">
        <v>48</v>
      </c>
      <c r="K43">
        <v>34</v>
      </c>
      <c r="L43">
        <v>26</v>
      </c>
      <c r="M43">
        <v>18</v>
      </c>
    </row>
    <row r="44" spans="1:13" x14ac:dyDescent="0.2">
      <c r="B44">
        <v>0.5</v>
      </c>
      <c r="C44">
        <v>335</v>
      </c>
      <c r="D44">
        <v>231</v>
      </c>
      <c r="E44">
        <v>176</v>
      </c>
      <c r="F44">
        <v>143</v>
      </c>
      <c r="G44">
        <v>107</v>
      </c>
      <c r="H44">
        <v>85</v>
      </c>
      <c r="I44">
        <v>70</v>
      </c>
      <c r="J44">
        <v>60</v>
      </c>
      <c r="K44">
        <v>43</v>
      </c>
      <c r="L44">
        <v>33</v>
      </c>
      <c r="M44">
        <v>22</v>
      </c>
    </row>
    <row r="45" spans="1:13" x14ac:dyDescent="0.2">
      <c r="B45">
        <v>0.2</v>
      </c>
      <c r="C45">
        <v>438</v>
      </c>
      <c r="D45">
        <v>305</v>
      </c>
      <c r="E45">
        <v>231</v>
      </c>
      <c r="F45">
        <v>189</v>
      </c>
      <c r="G45">
        <v>139</v>
      </c>
      <c r="H45">
        <v>110</v>
      </c>
      <c r="I45">
        <v>91</v>
      </c>
      <c r="J45">
        <v>78</v>
      </c>
      <c r="K45">
        <v>55</v>
      </c>
      <c r="L45">
        <v>42</v>
      </c>
      <c r="M45">
        <v>28</v>
      </c>
    </row>
    <row r="46" spans="1:13" x14ac:dyDescent="0.2">
      <c r="B46">
        <v>0.1</v>
      </c>
      <c r="C46">
        <v>542</v>
      </c>
      <c r="D46">
        <v>369</v>
      </c>
      <c r="E46">
        <v>278</v>
      </c>
      <c r="F46">
        <v>224</v>
      </c>
      <c r="G46">
        <v>163</v>
      </c>
      <c r="H46">
        <v>130</v>
      </c>
      <c r="I46">
        <v>106</v>
      </c>
      <c r="J46">
        <v>90</v>
      </c>
      <c r="K46">
        <v>64</v>
      </c>
      <c r="L46">
        <v>49</v>
      </c>
      <c r="M46">
        <v>33</v>
      </c>
    </row>
    <row r="47" spans="1:13" x14ac:dyDescent="0.2">
      <c r="B47">
        <v>0.05</v>
      </c>
      <c r="C47">
        <v>620</v>
      </c>
      <c r="D47">
        <v>428</v>
      </c>
      <c r="E47">
        <v>320</v>
      </c>
      <c r="F47">
        <v>256</v>
      </c>
      <c r="G47">
        <v>185</v>
      </c>
      <c r="H47">
        <v>145</v>
      </c>
      <c r="I47">
        <v>118</v>
      </c>
      <c r="J47">
        <v>100</v>
      </c>
      <c r="K47">
        <v>69</v>
      </c>
      <c r="L47">
        <v>54</v>
      </c>
      <c r="M47">
        <v>37</v>
      </c>
    </row>
    <row r="48" spans="1:13" x14ac:dyDescent="0.2">
      <c r="B48">
        <v>3.3000000000000002E-2</v>
      </c>
      <c r="C48">
        <v>702</v>
      </c>
      <c r="D48">
        <v>462</v>
      </c>
      <c r="E48">
        <v>345</v>
      </c>
      <c r="F48">
        <v>276</v>
      </c>
      <c r="G48">
        <v>198</v>
      </c>
      <c r="H48">
        <v>155</v>
      </c>
      <c r="I48">
        <v>127</v>
      </c>
      <c r="J48">
        <v>106</v>
      </c>
      <c r="K48">
        <v>74</v>
      </c>
      <c r="L48">
        <v>57</v>
      </c>
      <c r="M48">
        <v>40</v>
      </c>
    </row>
    <row r="49" spans="1:13" x14ac:dyDescent="0.2">
      <c r="B49">
        <v>0.02</v>
      </c>
      <c r="C49">
        <v>730.08</v>
      </c>
      <c r="D49">
        <v>485.1</v>
      </c>
      <c r="E49">
        <v>365.7</v>
      </c>
      <c r="F49">
        <v>292.56</v>
      </c>
      <c r="G49">
        <v>209.88</v>
      </c>
      <c r="H49">
        <v>164.3</v>
      </c>
      <c r="I49">
        <v>134.62</v>
      </c>
      <c r="J49">
        <v>112.36</v>
      </c>
      <c r="K49">
        <v>78.44</v>
      </c>
      <c r="L49">
        <v>60.99</v>
      </c>
      <c r="M49">
        <v>42.8</v>
      </c>
    </row>
    <row r="50" spans="1:13" x14ac:dyDescent="0.2">
      <c r="B50">
        <v>0.01</v>
      </c>
      <c r="C50">
        <v>765.18</v>
      </c>
      <c r="D50">
        <v>508.2</v>
      </c>
      <c r="E50">
        <v>382.95</v>
      </c>
      <c r="F50">
        <v>306.36</v>
      </c>
      <c r="G50">
        <v>219.78</v>
      </c>
      <c r="H50">
        <v>173.6</v>
      </c>
      <c r="I50">
        <v>142.24</v>
      </c>
      <c r="J50">
        <v>120</v>
      </c>
      <c r="K50">
        <v>85</v>
      </c>
      <c r="L50">
        <v>65</v>
      </c>
      <c r="M50">
        <v>45.6</v>
      </c>
    </row>
    <row r="51" spans="1:13" x14ac:dyDescent="0.2">
      <c r="A51">
        <v>6</v>
      </c>
      <c r="B51" t="s">
        <v>121</v>
      </c>
      <c r="E51" t="s">
        <v>117</v>
      </c>
    </row>
    <row r="52" spans="1:13" x14ac:dyDescent="0.2">
      <c r="B52" t="s">
        <v>52</v>
      </c>
      <c r="C52">
        <v>5</v>
      </c>
      <c r="D52">
        <v>10</v>
      </c>
      <c r="E52">
        <v>15</v>
      </c>
      <c r="F52">
        <v>20</v>
      </c>
      <c r="G52">
        <v>30</v>
      </c>
      <c r="H52">
        <v>40</v>
      </c>
      <c r="I52">
        <v>50</v>
      </c>
      <c r="J52">
        <v>60</v>
      </c>
      <c r="K52">
        <v>90</v>
      </c>
      <c r="L52">
        <v>120</v>
      </c>
      <c r="M52">
        <v>180</v>
      </c>
    </row>
    <row r="53" spans="1:13" x14ac:dyDescent="0.2">
      <c r="B53">
        <v>1</v>
      </c>
      <c r="C53">
        <v>310</v>
      </c>
      <c r="D53">
        <v>193</v>
      </c>
      <c r="E53">
        <v>143</v>
      </c>
      <c r="F53">
        <v>116</v>
      </c>
      <c r="G53">
        <v>83</v>
      </c>
      <c r="H53">
        <v>66</v>
      </c>
      <c r="I53">
        <v>54</v>
      </c>
      <c r="J53">
        <v>46</v>
      </c>
      <c r="K53">
        <v>31</v>
      </c>
      <c r="L53">
        <v>23</v>
      </c>
      <c r="M53">
        <v>15</v>
      </c>
    </row>
    <row r="54" spans="1:13" x14ac:dyDescent="0.2">
      <c r="B54">
        <v>0.5</v>
      </c>
      <c r="C54">
        <v>380</v>
      </c>
      <c r="D54">
        <v>240</v>
      </c>
      <c r="E54">
        <v>182</v>
      </c>
      <c r="F54">
        <v>147</v>
      </c>
      <c r="G54">
        <v>107</v>
      </c>
      <c r="H54">
        <v>84</v>
      </c>
      <c r="I54">
        <v>70</v>
      </c>
      <c r="J54">
        <v>60</v>
      </c>
      <c r="K54">
        <v>41</v>
      </c>
      <c r="L54">
        <v>31</v>
      </c>
      <c r="M54">
        <v>21</v>
      </c>
    </row>
    <row r="55" spans="1:13" x14ac:dyDescent="0.2">
      <c r="B55">
        <v>0.2</v>
      </c>
      <c r="C55">
        <v>490</v>
      </c>
      <c r="D55">
        <v>318</v>
      </c>
      <c r="E55">
        <v>240</v>
      </c>
      <c r="F55">
        <v>193</v>
      </c>
      <c r="G55">
        <v>142</v>
      </c>
      <c r="H55">
        <v>113</v>
      </c>
      <c r="I55">
        <v>93</v>
      </c>
      <c r="J55">
        <v>80</v>
      </c>
      <c r="K55">
        <v>56</v>
      </c>
      <c r="L55">
        <v>43</v>
      </c>
      <c r="M55">
        <v>29</v>
      </c>
    </row>
    <row r="56" spans="1:13" x14ac:dyDescent="0.2">
      <c r="B56">
        <v>0.1</v>
      </c>
      <c r="C56">
        <v>568</v>
      </c>
      <c r="D56">
        <v>370</v>
      </c>
      <c r="E56">
        <v>282</v>
      </c>
      <c r="F56">
        <v>230</v>
      </c>
      <c r="G56">
        <v>169</v>
      </c>
      <c r="H56">
        <v>136</v>
      </c>
      <c r="I56">
        <v>112</v>
      </c>
      <c r="J56">
        <v>96</v>
      </c>
      <c r="K56">
        <v>68</v>
      </c>
      <c r="L56">
        <v>53</v>
      </c>
      <c r="M56">
        <v>36</v>
      </c>
    </row>
    <row r="57" spans="1:13" x14ac:dyDescent="0.2">
      <c r="B57">
        <v>0.05</v>
      </c>
      <c r="C57">
        <v>620</v>
      </c>
      <c r="D57">
        <v>432</v>
      </c>
      <c r="E57">
        <v>334</v>
      </c>
      <c r="F57">
        <v>271</v>
      </c>
      <c r="G57">
        <v>198</v>
      </c>
      <c r="H57">
        <v>156</v>
      </c>
      <c r="I57">
        <v>129</v>
      </c>
      <c r="J57">
        <v>110</v>
      </c>
      <c r="K57">
        <v>79</v>
      </c>
      <c r="L57">
        <v>62</v>
      </c>
      <c r="M57">
        <v>44</v>
      </c>
    </row>
    <row r="58" spans="1:13" x14ac:dyDescent="0.2">
      <c r="B58">
        <v>3.3000000000000002E-2</v>
      </c>
      <c r="C58">
        <v>660</v>
      </c>
      <c r="D58">
        <v>460</v>
      </c>
      <c r="E58">
        <v>358</v>
      </c>
      <c r="F58">
        <v>290</v>
      </c>
      <c r="G58">
        <v>213</v>
      </c>
      <c r="H58">
        <v>168</v>
      </c>
      <c r="I58">
        <v>139</v>
      </c>
      <c r="J58">
        <v>120</v>
      </c>
      <c r="K58">
        <v>84</v>
      </c>
      <c r="L58">
        <v>67</v>
      </c>
      <c r="M58">
        <v>48</v>
      </c>
    </row>
    <row r="59" spans="1:13" x14ac:dyDescent="0.2">
      <c r="B59">
        <v>0.02</v>
      </c>
      <c r="C59">
        <v>686.4</v>
      </c>
      <c r="D59">
        <v>483</v>
      </c>
      <c r="E59">
        <v>379.48</v>
      </c>
      <c r="F59">
        <v>307.39999999999998</v>
      </c>
      <c r="G59">
        <v>225.78</v>
      </c>
      <c r="H59">
        <v>178.08</v>
      </c>
      <c r="I59">
        <v>147.34</v>
      </c>
      <c r="J59">
        <v>127.2</v>
      </c>
      <c r="K59">
        <v>89.04</v>
      </c>
      <c r="L59">
        <v>71.69</v>
      </c>
      <c r="M59">
        <v>51.36</v>
      </c>
    </row>
    <row r="60" spans="1:13" x14ac:dyDescent="0.2">
      <c r="B60">
        <v>0.01</v>
      </c>
      <c r="C60">
        <v>719.4</v>
      </c>
      <c r="D60">
        <v>506</v>
      </c>
      <c r="E60">
        <v>397.38</v>
      </c>
      <c r="F60">
        <v>321.89999999999998</v>
      </c>
      <c r="G60">
        <v>236.43</v>
      </c>
      <c r="H60">
        <v>188.16</v>
      </c>
      <c r="I60">
        <v>155.68</v>
      </c>
      <c r="J60">
        <v>134.4</v>
      </c>
      <c r="K60">
        <v>94.92</v>
      </c>
      <c r="L60">
        <v>75.709999999999994</v>
      </c>
      <c r="M60">
        <v>54.72</v>
      </c>
    </row>
    <row r="61" spans="1:13" x14ac:dyDescent="0.2">
      <c r="A61">
        <v>7</v>
      </c>
      <c r="B61" t="s">
        <v>122</v>
      </c>
      <c r="E61" t="s">
        <v>117</v>
      </c>
    </row>
    <row r="62" spans="1:13" x14ac:dyDescent="0.2">
      <c r="B62" t="s">
        <v>52</v>
      </c>
      <c r="C62">
        <v>5</v>
      </c>
      <c r="D62">
        <v>10</v>
      </c>
      <c r="E62">
        <v>15</v>
      </c>
      <c r="F62">
        <v>20</v>
      </c>
      <c r="G62">
        <v>30</v>
      </c>
      <c r="H62">
        <v>40</v>
      </c>
      <c r="I62">
        <v>50</v>
      </c>
      <c r="J62">
        <v>60</v>
      </c>
      <c r="K62">
        <v>90</v>
      </c>
      <c r="L62">
        <v>120</v>
      </c>
      <c r="M62">
        <v>180</v>
      </c>
    </row>
    <row r="63" spans="1:13" x14ac:dyDescent="0.2">
      <c r="B63">
        <v>1</v>
      </c>
      <c r="C63">
        <v>304</v>
      </c>
      <c r="D63">
        <v>193</v>
      </c>
      <c r="E63">
        <v>146</v>
      </c>
      <c r="F63">
        <v>118</v>
      </c>
      <c r="G63">
        <v>87</v>
      </c>
      <c r="H63">
        <v>70</v>
      </c>
      <c r="I63">
        <v>57</v>
      </c>
      <c r="J63">
        <v>49</v>
      </c>
      <c r="K63">
        <v>34</v>
      </c>
      <c r="L63">
        <v>26</v>
      </c>
      <c r="M63">
        <v>18</v>
      </c>
    </row>
    <row r="64" spans="1:13" x14ac:dyDescent="0.2">
      <c r="B64">
        <v>0.5</v>
      </c>
      <c r="C64">
        <v>378</v>
      </c>
      <c r="D64">
        <v>248</v>
      </c>
      <c r="E64">
        <v>186</v>
      </c>
      <c r="F64">
        <v>152</v>
      </c>
      <c r="G64">
        <v>113</v>
      </c>
      <c r="H64">
        <v>89</v>
      </c>
      <c r="I64">
        <v>74</v>
      </c>
      <c r="J64">
        <v>64</v>
      </c>
      <c r="K64">
        <v>45</v>
      </c>
      <c r="L64">
        <v>34</v>
      </c>
      <c r="M64">
        <v>23</v>
      </c>
    </row>
    <row r="65" spans="1:13" x14ac:dyDescent="0.2">
      <c r="B65">
        <v>0.2</v>
      </c>
      <c r="C65">
        <v>462</v>
      </c>
      <c r="D65">
        <v>322</v>
      </c>
      <c r="E65">
        <v>250</v>
      </c>
      <c r="F65">
        <v>205</v>
      </c>
      <c r="G65">
        <v>152</v>
      </c>
      <c r="H65">
        <v>122</v>
      </c>
      <c r="I65">
        <v>100</v>
      </c>
      <c r="J65">
        <v>86</v>
      </c>
      <c r="K65">
        <v>60</v>
      </c>
      <c r="L65">
        <v>47</v>
      </c>
      <c r="M65">
        <v>32</v>
      </c>
    </row>
    <row r="66" spans="1:13" x14ac:dyDescent="0.2">
      <c r="B66">
        <v>0.1</v>
      </c>
      <c r="C66">
        <v>524</v>
      </c>
      <c r="D66">
        <v>377</v>
      </c>
      <c r="E66">
        <v>294</v>
      </c>
      <c r="F66">
        <v>243</v>
      </c>
      <c r="G66">
        <v>181</v>
      </c>
      <c r="H66">
        <v>144</v>
      </c>
      <c r="I66">
        <v>120</v>
      </c>
      <c r="J66">
        <v>102</v>
      </c>
      <c r="K66">
        <v>72</v>
      </c>
      <c r="L66">
        <v>56</v>
      </c>
      <c r="M66">
        <v>38</v>
      </c>
    </row>
    <row r="67" spans="1:13" x14ac:dyDescent="0.2">
      <c r="B67">
        <v>0.05</v>
      </c>
      <c r="C67">
        <v>583</v>
      </c>
      <c r="D67">
        <v>427</v>
      </c>
      <c r="E67">
        <v>337</v>
      </c>
      <c r="F67">
        <v>278</v>
      </c>
      <c r="G67">
        <v>208</v>
      </c>
      <c r="H67">
        <v>166</v>
      </c>
      <c r="I67">
        <v>138</v>
      </c>
      <c r="J67">
        <v>118</v>
      </c>
      <c r="K67">
        <v>83</v>
      </c>
      <c r="L67">
        <v>64</v>
      </c>
      <c r="M67">
        <v>44</v>
      </c>
    </row>
    <row r="68" spans="1:13" x14ac:dyDescent="0.2">
      <c r="B68">
        <v>3.3000000000000002E-2</v>
      </c>
      <c r="C68">
        <v>605</v>
      </c>
      <c r="D68">
        <v>450</v>
      </c>
      <c r="E68">
        <v>357</v>
      </c>
      <c r="F68">
        <v>298</v>
      </c>
      <c r="G68">
        <v>223</v>
      </c>
      <c r="H68">
        <v>180</v>
      </c>
      <c r="I68">
        <v>150</v>
      </c>
      <c r="J68">
        <v>128</v>
      </c>
      <c r="K68">
        <v>91</v>
      </c>
      <c r="L68">
        <v>71</v>
      </c>
      <c r="M68">
        <v>48</v>
      </c>
    </row>
    <row r="69" spans="1:13" x14ac:dyDescent="0.2">
      <c r="B69">
        <v>0.02</v>
      </c>
      <c r="C69">
        <v>629.20000000000005</v>
      </c>
      <c r="D69">
        <v>472.5</v>
      </c>
      <c r="E69">
        <v>378.42</v>
      </c>
      <c r="F69">
        <v>315.88</v>
      </c>
      <c r="G69">
        <v>236.38</v>
      </c>
      <c r="H69">
        <v>190.8</v>
      </c>
      <c r="I69">
        <v>159</v>
      </c>
      <c r="J69">
        <v>135.68</v>
      </c>
      <c r="K69">
        <v>96.46</v>
      </c>
      <c r="L69">
        <v>75.97</v>
      </c>
      <c r="M69">
        <v>51.36</v>
      </c>
    </row>
    <row r="70" spans="1:13" x14ac:dyDescent="0.2">
      <c r="B70">
        <v>0.01</v>
      </c>
      <c r="C70">
        <v>659.45</v>
      </c>
      <c r="D70">
        <v>495</v>
      </c>
      <c r="E70">
        <v>396.27</v>
      </c>
      <c r="F70">
        <v>330.78</v>
      </c>
      <c r="G70">
        <v>247.53</v>
      </c>
      <c r="H70">
        <v>201.6</v>
      </c>
      <c r="I70">
        <v>168</v>
      </c>
      <c r="J70">
        <v>145</v>
      </c>
      <c r="K70">
        <v>103</v>
      </c>
      <c r="L70">
        <v>80.23</v>
      </c>
      <c r="M70">
        <v>54.72</v>
      </c>
    </row>
    <row r="71" spans="1:13" x14ac:dyDescent="0.2">
      <c r="A71">
        <v>8</v>
      </c>
      <c r="B71" t="s">
        <v>123</v>
      </c>
      <c r="E71" t="s">
        <v>117</v>
      </c>
    </row>
    <row r="72" spans="1:13" x14ac:dyDescent="0.2">
      <c r="B72" t="s">
        <v>52</v>
      </c>
      <c r="C72">
        <v>5</v>
      </c>
      <c r="D72">
        <v>10</v>
      </c>
      <c r="E72">
        <v>15</v>
      </c>
      <c r="F72">
        <v>20</v>
      </c>
      <c r="G72">
        <v>30</v>
      </c>
      <c r="H72">
        <v>40</v>
      </c>
      <c r="I72">
        <v>50</v>
      </c>
      <c r="J72">
        <v>60</v>
      </c>
      <c r="K72">
        <v>90</v>
      </c>
      <c r="L72">
        <v>120</v>
      </c>
      <c r="M72">
        <v>180</v>
      </c>
    </row>
    <row r="73" spans="1:13" x14ac:dyDescent="0.2">
      <c r="B73">
        <v>1</v>
      </c>
      <c r="C73">
        <v>298</v>
      </c>
      <c r="D73">
        <v>196</v>
      </c>
      <c r="E73">
        <v>152</v>
      </c>
      <c r="F73">
        <v>125</v>
      </c>
      <c r="G73">
        <v>94</v>
      </c>
      <c r="H73">
        <v>76</v>
      </c>
      <c r="I73">
        <v>64</v>
      </c>
      <c r="J73">
        <v>56</v>
      </c>
      <c r="K73">
        <v>40</v>
      </c>
      <c r="L73">
        <v>31</v>
      </c>
      <c r="M73">
        <v>22</v>
      </c>
    </row>
    <row r="74" spans="1:13" x14ac:dyDescent="0.2">
      <c r="B74">
        <v>0.5</v>
      </c>
      <c r="C74">
        <v>350</v>
      </c>
      <c r="D74">
        <v>240</v>
      </c>
      <c r="E74">
        <v>188</v>
      </c>
      <c r="F74">
        <v>158</v>
      </c>
      <c r="G74">
        <v>120</v>
      </c>
      <c r="H74">
        <v>96</v>
      </c>
      <c r="I74">
        <v>81</v>
      </c>
      <c r="J74">
        <v>70</v>
      </c>
      <c r="K74">
        <v>50</v>
      </c>
      <c r="L74">
        <v>39</v>
      </c>
      <c r="M74">
        <v>27</v>
      </c>
    </row>
    <row r="75" spans="1:13" x14ac:dyDescent="0.2">
      <c r="B75">
        <v>0.2</v>
      </c>
      <c r="C75">
        <v>422</v>
      </c>
      <c r="D75">
        <v>300</v>
      </c>
      <c r="E75">
        <v>240</v>
      </c>
      <c r="F75">
        <v>202</v>
      </c>
      <c r="G75">
        <v>155</v>
      </c>
      <c r="H75">
        <v>127</v>
      </c>
      <c r="I75">
        <v>106</v>
      </c>
      <c r="J75">
        <v>91</v>
      </c>
      <c r="K75">
        <v>66</v>
      </c>
      <c r="L75">
        <v>51</v>
      </c>
      <c r="M75">
        <v>36</v>
      </c>
    </row>
    <row r="76" spans="1:13" x14ac:dyDescent="0.2">
      <c r="B76">
        <v>0.1</v>
      </c>
      <c r="C76">
        <v>470</v>
      </c>
      <c r="D76">
        <v>341</v>
      </c>
      <c r="E76">
        <v>272</v>
      </c>
      <c r="F76">
        <v>232</v>
      </c>
      <c r="G76">
        <v>181</v>
      </c>
      <c r="H76">
        <v>148</v>
      </c>
      <c r="I76">
        <v>125</v>
      </c>
      <c r="J76">
        <v>108</v>
      </c>
      <c r="K76">
        <v>77</v>
      </c>
      <c r="L76">
        <v>60</v>
      </c>
      <c r="M76">
        <v>42</v>
      </c>
    </row>
    <row r="77" spans="1:13" x14ac:dyDescent="0.2">
      <c r="B77">
        <v>0.05</v>
      </c>
      <c r="C77">
        <v>522</v>
      </c>
      <c r="D77">
        <v>377</v>
      </c>
      <c r="E77">
        <v>303</v>
      </c>
      <c r="F77">
        <v>260</v>
      </c>
      <c r="G77">
        <v>202</v>
      </c>
      <c r="H77">
        <v>168</v>
      </c>
      <c r="I77">
        <v>143</v>
      </c>
      <c r="J77">
        <v>124</v>
      </c>
      <c r="K77">
        <v>90</v>
      </c>
      <c r="L77">
        <v>71</v>
      </c>
      <c r="M77">
        <v>50</v>
      </c>
    </row>
    <row r="78" spans="1:13" x14ac:dyDescent="0.2">
      <c r="B78">
        <v>3.3000000000000002E-2</v>
      </c>
      <c r="C78">
        <v>560</v>
      </c>
      <c r="D78">
        <v>401</v>
      </c>
      <c r="E78">
        <v>325</v>
      </c>
      <c r="F78">
        <v>278</v>
      </c>
      <c r="G78">
        <v>219</v>
      </c>
      <c r="H78">
        <v>182</v>
      </c>
      <c r="I78">
        <v>155</v>
      </c>
      <c r="J78">
        <v>136</v>
      </c>
      <c r="K78">
        <v>98</v>
      </c>
      <c r="L78">
        <v>78</v>
      </c>
      <c r="M78">
        <v>55</v>
      </c>
    </row>
    <row r="79" spans="1:13" x14ac:dyDescent="0.2">
      <c r="B79">
        <v>0.02</v>
      </c>
      <c r="C79">
        <v>575</v>
      </c>
      <c r="D79">
        <v>420</v>
      </c>
      <c r="E79">
        <v>343</v>
      </c>
      <c r="F79">
        <v>294</v>
      </c>
      <c r="G79">
        <v>236</v>
      </c>
      <c r="H79">
        <v>197</v>
      </c>
      <c r="I79">
        <v>168</v>
      </c>
      <c r="J79">
        <v>148</v>
      </c>
      <c r="K79">
        <v>107</v>
      </c>
      <c r="L79">
        <v>84</v>
      </c>
      <c r="M79">
        <v>60</v>
      </c>
    </row>
    <row r="80" spans="1:13" x14ac:dyDescent="0.2">
      <c r="B80">
        <v>0.01</v>
      </c>
      <c r="C80">
        <v>600</v>
      </c>
      <c r="D80">
        <v>440</v>
      </c>
      <c r="E80">
        <v>360</v>
      </c>
      <c r="F80">
        <v>310</v>
      </c>
      <c r="G80">
        <v>248</v>
      </c>
      <c r="H80">
        <v>205</v>
      </c>
      <c r="I80">
        <v>176</v>
      </c>
      <c r="J80">
        <v>155</v>
      </c>
      <c r="K80">
        <v>113</v>
      </c>
      <c r="L80">
        <v>90</v>
      </c>
      <c r="M80">
        <v>65</v>
      </c>
    </row>
    <row r="81" spans="1:13" x14ac:dyDescent="0.2">
      <c r="A81">
        <v>9</v>
      </c>
      <c r="B81" t="s">
        <v>124</v>
      </c>
      <c r="E81" t="s">
        <v>117</v>
      </c>
    </row>
    <row r="82" spans="1:13" x14ac:dyDescent="0.2">
      <c r="B82" t="s">
        <v>52</v>
      </c>
      <c r="C82">
        <v>5</v>
      </c>
      <c r="D82">
        <v>10</v>
      </c>
      <c r="E82">
        <v>15</v>
      </c>
      <c r="F82">
        <v>20</v>
      </c>
      <c r="G82">
        <v>30</v>
      </c>
      <c r="H82">
        <v>40</v>
      </c>
      <c r="I82">
        <v>50</v>
      </c>
      <c r="J82">
        <v>60</v>
      </c>
      <c r="K82">
        <v>90</v>
      </c>
      <c r="L82">
        <v>120</v>
      </c>
      <c r="M82">
        <v>180</v>
      </c>
    </row>
    <row r="83" spans="1:13" x14ac:dyDescent="0.2">
      <c r="B83">
        <v>1</v>
      </c>
      <c r="C83">
        <v>289</v>
      </c>
      <c r="D83">
        <v>182</v>
      </c>
      <c r="E83">
        <v>134</v>
      </c>
      <c r="F83">
        <v>108</v>
      </c>
      <c r="G83">
        <v>77</v>
      </c>
      <c r="H83">
        <v>60</v>
      </c>
      <c r="I83">
        <v>50</v>
      </c>
      <c r="J83">
        <v>43</v>
      </c>
      <c r="K83">
        <v>31</v>
      </c>
      <c r="L83">
        <v>24</v>
      </c>
      <c r="M83">
        <v>17</v>
      </c>
    </row>
    <row r="84" spans="1:13" x14ac:dyDescent="0.2">
      <c r="B84">
        <v>0.5</v>
      </c>
      <c r="C84">
        <v>350</v>
      </c>
      <c r="D84">
        <v>225</v>
      </c>
      <c r="E84">
        <v>170</v>
      </c>
      <c r="F84">
        <v>138</v>
      </c>
      <c r="G84">
        <v>102</v>
      </c>
      <c r="H84">
        <v>81</v>
      </c>
      <c r="I84">
        <v>67</v>
      </c>
      <c r="J84">
        <v>57</v>
      </c>
      <c r="K84">
        <v>40</v>
      </c>
      <c r="L84">
        <v>31</v>
      </c>
      <c r="M84">
        <v>22</v>
      </c>
    </row>
    <row r="85" spans="1:13" x14ac:dyDescent="0.2">
      <c r="B85">
        <v>0.2</v>
      </c>
      <c r="C85">
        <v>442</v>
      </c>
      <c r="D85">
        <v>290</v>
      </c>
      <c r="E85">
        <v>222</v>
      </c>
      <c r="F85">
        <v>182</v>
      </c>
      <c r="G85">
        <v>136</v>
      </c>
      <c r="H85">
        <v>109</v>
      </c>
      <c r="I85">
        <v>91</v>
      </c>
      <c r="J85">
        <v>79</v>
      </c>
      <c r="K85">
        <v>55</v>
      </c>
      <c r="L85">
        <v>43</v>
      </c>
      <c r="M85">
        <v>29</v>
      </c>
    </row>
    <row r="86" spans="1:13" x14ac:dyDescent="0.2">
      <c r="B86">
        <v>0.1</v>
      </c>
      <c r="C86">
        <v>500</v>
      </c>
      <c r="D86">
        <v>340</v>
      </c>
      <c r="E86">
        <v>264</v>
      </c>
      <c r="F86">
        <v>219</v>
      </c>
      <c r="G86">
        <v>164</v>
      </c>
      <c r="H86">
        <v>132</v>
      </c>
      <c r="I86">
        <v>110</v>
      </c>
      <c r="J86">
        <v>94</v>
      </c>
      <c r="K86">
        <v>66</v>
      </c>
      <c r="L86">
        <v>51</v>
      </c>
      <c r="M86">
        <v>35</v>
      </c>
    </row>
    <row r="87" spans="1:13" x14ac:dyDescent="0.2">
      <c r="B87">
        <v>0.05</v>
      </c>
      <c r="C87">
        <v>560</v>
      </c>
      <c r="D87">
        <v>387</v>
      </c>
      <c r="E87">
        <v>305</v>
      </c>
      <c r="F87">
        <v>256</v>
      </c>
      <c r="G87">
        <v>193</v>
      </c>
      <c r="H87">
        <v>154</v>
      </c>
      <c r="I87">
        <v>128</v>
      </c>
      <c r="J87">
        <v>111</v>
      </c>
      <c r="K87">
        <v>78</v>
      </c>
      <c r="L87">
        <v>60</v>
      </c>
      <c r="M87">
        <v>42</v>
      </c>
    </row>
    <row r="88" spans="1:13" x14ac:dyDescent="0.2">
      <c r="B88">
        <v>3.3000000000000002E-2</v>
      </c>
      <c r="C88">
        <v>604.79999999999995</v>
      </c>
      <c r="D88">
        <v>414.09</v>
      </c>
      <c r="E88">
        <v>326.35000000000002</v>
      </c>
      <c r="F88">
        <v>273.92</v>
      </c>
      <c r="G88">
        <v>208.44</v>
      </c>
      <c r="H88">
        <v>167.86</v>
      </c>
      <c r="I88">
        <v>140.80000000000001</v>
      </c>
      <c r="J88">
        <v>122.1</v>
      </c>
      <c r="K88">
        <v>86.58</v>
      </c>
      <c r="L88">
        <v>72</v>
      </c>
      <c r="M88">
        <v>47.46</v>
      </c>
    </row>
    <row r="89" spans="1:13" x14ac:dyDescent="0.2">
      <c r="B89">
        <v>0.02</v>
      </c>
      <c r="C89">
        <v>621.6</v>
      </c>
      <c r="D89">
        <v>429.57</v>
      </c>
      <c r="E89">
        <v>338.55</v>
      </c>
      <c r="F89">
        <v>284.16000000000003</v>
      </c>
      <c r="G89">
        <v>218.09</v>
      </c>
      <c r="H89">
        <v>174.02</v>
      </c>
      <c r="I89">
        <v>145.91999999999999</v>
      </c>
      <c r="J89">
        <v>126.54</v>
      </c>
      <c r="K89">
        <v>90.48</v>
      </c>
      <c r="L89">
        <v>69.599999999999994</v>
      </c>
      <c r="M89">
        <v>49.14</v>
      </c>
    </row>
    <row r="90" spans="1:13" x14ac:dyDescent="0.2">
      <c r="B90">
        <v>0.01</v>
      </c>
      <c r="C90">
        <v>655.20000000000005</v>
      </c>
      <c r="D90">
        <v>456.66</v>
      </c>
      <c r="E90">
        <v>366</v>
      </c>
      <c r="F90">
        <v>304.64</v>
      </c>
      <c r="G90">
        <v>233.53</v>
      </c>
      <c r="H90">
        <v>185</v>
      </c>
      <c r="I90">
        <v>155</v>
      </c>
      <c r="J90">
        <v>132.09</v>
      </c>
      <c r="K90">
        <v>92.82</v>
      </c>
      <c r="L90">
        <v>71.400000000000006</v>
      </c>
      <c r="M90">
        <v>49.98</v>
      </c>
    </row>
    <row r="91" spans="1:13" x14ac:dyDescent="0.2">
      <c r="A91">
        <v>10</v>
      </c>
      <c r="B91" t="s">
        <v>125</v>
      </c>
      <c r="E91" t="s">
        <v>117</v>
      </c>
    </row>
    <row r="92" spans="1:13" x14ac:dyDescent="0.2">
      <c r="B92" t="s">
        <v>52</v>
      </c>
      <c r="C92">
        <v>5</v>
      </c>
      <c r="D92">
        <v>10</v>
      </c>
      <c r="E92">
        <v>15</v>
      </c>
      <c r="F92">
        <v>20</v>
      </c>
      <c r="G92">
        <v>30</v>
      </c>
      <c r="H92">
        <v>40</v>
      </c>
      <c r="I92">
        <v>50</v>
      </c>
      <c r="J92">
        <v>60</v>
      </c>
      <c r="K92">
        <v>90</v>
      </c>
      <c r="L92">
        <v>120</v>
      </c>
      <c r="M92">
        <v>180</v>
      </c>
    </row>
    <row r="93" spans="1:13" x14ac:dyDescent="0.2">
      <c r="B93">
        <v>1</v>
      </c>
      <c r="C93">
        <v>290</v>
      </c>
      <c r="D93">
        <v>193</v>
      </c>
      <c r="E93">
        <v>150</v>
      </c>
      <c r="F93">
        <v>124</v>
      </c>
      <c r="G93">
        <v>95</v>
      </c>
      <c r="H93">
        <v>78</v>
      </c>
      <c r="I93">
        <v>66</v>
      </c>
      <c r="J93">
        <v>58</v>
      </c>
      <c r="K93">
        <v>43</v>
      </c>
      <c r="L93">
        <v>34</v>
      </c>
      <c r="M93">
        <v>24</v>
      </c>
    </row>
    <row r="94" spans="1:13" x14ac:dyDescent="0.2">
      <c r="B94">
        <v>0.5</v>
      </c>
      <c r="C94">
        <v>348</v>
      </c>
      <c r="D94">
        <v>240</v>
      </c>
      <c r="E94">
        <v>188</v>
      </c>
      <c r="F94">
        <v>158</v>
      </c>
      <c r="G94">
        <v>122</v>
      </c>
      <c r="H94">
        <v>99</v>
      </c>
      <c r="I94">
        <v>84</v>
      </c>
      <c r="J94">
        <v>74</v>
      </c>
      <c r="K94">
        <v>54</v>
      </c>
      <c r="L94">
        <v>44</v>
      </c>
      <c r="M94">
        <v>31</v>
      </c>
    </row>
    <row r="95" spans="1:13" x14ac:dyDescent="0.2">
      <c r="B95">
        <v>0.2</v>
      </c>
      <c r="C95">
        <v>420</v>
      </c>
      <c r="D95">
        <v>299</v>
      </c>
      <c r="E95">
        <v>237</v>
      </c>
      <c r="F95">
        <v>200</v>
      </c>
      <c r="G95">
        <v>155</v>
      </c>
      <c r="H95">
        <v>128</v>
      </c>
      <c r="I95">
        <v>110</v>
      </c>
      <c r="J95">
        <v>96</v>
      </c>
      <c r="K95">
        <v>72</v>
      </c>
      <c r="L95">
        <v>58</v>
      </c>
      <c r="M95">
        <v>42</v>
      </c>
    </row>
    <row r="96" spans="1:13" x14ac:dyDescent="0.2">
      <c r="B96">
        <v>0.1</v>
      </c>
      <c r="C96">
        <v>460</v>
      </c>
      <c r="D96">
        <v>337</v>
      </c>
      <c r="E96">
        <v>270</v>
      </c>
      <c r="F96">
        <v>230</v>
      </c>
      <c r="G96">
        <v>180</v>
      </c>
      <c r="H96">
        <v>150</v>
      </c>
      <c r="I96">
        <v>129</v>
      </c>
      <c r="J96">
        <v>114</v>
      </c>
      <c r="K96">
        <v>86</v>
      </c>
      <c r="L96">
        <v>70</v>
      </c>
      <c r="M96">
        <v>51</v>
      </c>
    </row>
    <row r="97" spans="1:13" x14ac:dyDescent="0.2">
      <c r="B97">
        <v>0.05</v>
      </c>
      <c r="C97">
        <v>494</v>
      </c>
      <c r="D97">
        <v>371</v>
      </c>
      <c r="E97">
        <v>301</v>
      </c>
      <c r="F97">
        <v>258</v>
      </c>
      <c r="G97">
        <v>204</v>
      </c>
      <c r="H97">
        <v>171</v>
      </c>
      <c r="I97">
        <v>148</v>
      </c>
      <c r="J97">
        <v>132</v>
      </c>
      <c r="K97">
        <v>98</v>
      </c>
      <c r="L97">
        <v>80</v>
      </c>
      <c r="M97">
        <v>58</v>
      </c>
    </row>
    <row r="98" spans="1:13" x14ac:dyDescent="0.2">
      <c r="B98">
        <v>3.3000000000000002E-2</v>
      </c>
      <c r="C98">
        <v>516</v>
      </c>
      <c r="D98">
        <v>394</v>
      </c>
      <c r="E98">
        <v>323</v>
      </c>
      <c r="F98">
        <v>279</v>
      </c>
      <c r="G98">
        <v>221</v>
      </c>
      <c r="H98">
        <v>185</v>
      </c>
      <c r="I98">
        <v>159</v>
      </c>
      <c r="J98">
        <v>141</v>
      </c>
      <c r="K98">
        <v>106</v>
      </c>
      <c r="L98">
        <v>86</v>
      </c>
      <c r="M98">
        <v>63</v>
      </c>
    </row>
    <row r="99" spans="1:13" x14ac:dyDescent="0.2">
      <c r="B99">
        <v>0.02</v>
      </c>
      <c r="C99">
        <v>536</v>
      </c>
      <c r="D99">
        <v>413</v>
      </c>
      <c r="E99">
        <v>342</v>
      </c>
      <c r="F99">
        <v>295</v>
      </c>
      <c r="G99">
        <v>234</v>
      </c>
      <c r="H99">
        <v>196</v>
      </c>
      <c r="I99">
        <v>170</v>
      </c>
      <c r="J99">
        <v>152</v>
      </c>
      <c r="K99">
        <v>116</v>
      </c>
      <c r="L99">
        <v>94</v>
      </c>
      <c r="M99">
        <v>70</v>
      </c>
    </row>
    <row r="100" spans="1:13" x14ac:dyDescent="0.2">
      <c r="B100">
        <v>0.01</v>
      </c>
      <c r="C100">
        <v>562.79999999999995</v>
      </c>
      <c r="D100">
        <v>433.65</v>
      </c>
      <c r="E100">
        <v>359.1</v>
      </c>
      <c r="F100">
        <v>309.75</v>
      </c>
      <c r="G100">
        <v>245.7</v>
      </c>
      <c r="H100">
        <v>205.8</v>
      </c>
      <c r="I100">
        <v>178.5</v>
      </c>
      <c r="J100">
        <v>161.12</v>
      </c>
      <c r="K100">
        <v>122.96</v>
      </c>
      <c r="L100">
        <v>99.64</v>
      </c>
      <c r="M100">
        <v>74.900000000000006</v>
      </c>
    </row>
    <row r="101" spans="1:13" x14ac:dyDescent="0.2">
      <c r="A101">
        <v>11</v>
      </c>
      <c r="B101" t="s">
        <v>126</v>
      </c>
      <c r="E101" t="s">
        <v>117</v>
      </c>
    </row>
    <row r="102" spans="1:13" x14ac:dyDescent="0.2">
      <c r="B102" t="s">
        <v>52</v>
      </c>
      <c r="C102">
        <v>5</v>
      </c>
      <c r="D102">
        <v>10</v>
      </c>
      <c r="E102">
        <v>15</v>
      </c>
      <c r="F102">
        <v>20</v>
      </c>
      <c r="G102">
        <v>30</v>
      </c>
      <c r="H102">
        <v>40</v>
      </c>
      <c r="I102">
        <v>50</v>
      </c>
      <c r="J102">
        <v>60</v>
      </c>
      <c r="K102">
        <v>90</v>
      </c>
      <c r="L102">
        <v>120</v>
      </c>
      <c r="M102">
        <v>180</v>
      </c>
    </row>
    <row r="103" spans="1:13" x14ac:dyDescent="0.2">
      <c r="B103">
        <v>1</v>
      </c>
      <c r="C103">
        <v>257</v>
      </c>
      <c r="D103">
        <v>177</v>
      </c>
      <c r="E103">
        <v>138</v>
      </c>
      <c r="F103">
        <v>114</v>
      </c>
      <c r="G103">
        <v>84</v>
      </c>
      <c r="H103">
        <v>67</v>
      </c>
      <c r="I103">
        <v>55</v>
      </c>
      <c r="J103">
        <v>47</v>
      </c>
      <c r="K103">
        <v>32</v>
      </c>
      <c r="L103">
        <v>25</v>
      </c>
      <c r="M103">
        <v>17</v>
      </c>
    </row>
    <row r="104" spans="1:13" x14ac:dyDescent="0.2">
      <c r="B104">
        <v>0.5</v>
      </c>
      <c r="C104">
        <v>304</v>
      </c>
      <c r="D104">
        <v>213</v>
      </c>
      <c r="E104">
        <v>172</v>
      </c>
      <c r="F104">
        <v>145</v>
      </c>
      <c r="G104">
        <v>110</v>
      </c>
      <c r="H104">
        <v>88</v>
      </c>
      <c r="I104">
        <v>72</v>
      </c>
      <c r="J104">
        <v>61</v>
      </c>
      <c r="K104">
        <v>42</v>
      </c>
      <c r="L104">
        <v>32</v>
      </c>
      <c r="M104">
        <v>22</v>
      </c>
    </row>
    <row r="105" spans="1:13" x14ac:dyDescent="0.2">
      <c r="B105">
        <v>0.2</v>
      </c>
      <c r="C105">
        <v>365</v>
      </c>
      <c r="D105">
        <v>270</v>
      </c>
      <c r="E105">
        <v>220</v>
      </c>
      <c r="F105">
        <v>186</v>
      </c>
      <c r="G105">
        <v>144</v>
      </c>
      <c r="H105">
        <v>116</v>
      </c>
      <c r="I105">
        <v>96</v>
      </c>
      <c r="J105">
        <v>82</v>
      </c>
      <c r="K105">
        <v>58</v>
      </c>
      <c r="L105">
        <v>45</v>
      </c>
      <c r="M105">
        <v>30</v>
      </c>
    </row>
    <row r="106" spans="1:13" x14ac:dyDescent="0.2">
      <c r="B106">
        <v>0.1</v>
      </c>
      <c r="C106">
        <v>438</v>
      </c>
      <c r="D106">
        <v>322</v>
      </c>
      <c r="E106">
        <v>262</v>
      </c>
      <c r="F106">
        <v>223</v>
      </c>
      <c r="G106">
        <v>174</v>
      </c>
      <c r="H106">
        <v>142</v>
      </c>
      <c r="I106">
        <v>120</v>
      </c>
      <c r="J106">
        <v>102</v>
      </c>
      <c r="K106">
        <v>72</v>
      </c>
      <c r="L106">
        <v>56</v>
      </c>
      <c r="M106">
        <v>38</v>
      </c>
    </row>
    <row r="107" spans="1:13" x14ac:dyDescent="0.2">
      <c r="B107">
        <v>0.05</v>
      </c>
      <c r="C107">
        <v>495</v>
      </c>
      <c r="D107">
        <v>370</v>
      </c>
      <c r="E107">
        <v>300</v>
      </c>
      <c r="F107">
        <v>250</v>
      </c>
      <c r="G107">
        <v>193</v>
      </c>
      <c r="H107">
        <v>158</v>
      </c>
      <c r="I107">
        <v>134</v>
      </c>
      <c r="J107">
        <v>117</v>
      </c>
      <c r="K107">
        <v>84</v>
      </c>
      <c r="L107">
        <v>66</v>
      </c>
      <c r="M107">
        <v>45</v>
      </c>
    </row>
    <row r="108" spans="1:13" x14ac:dyDescent="0.2">
      <c r="B108">
        <v>3.3000000000000002E-2</v>
      </c>
      <c r="C108">
        <v>520</v>
      </c>
      <c r="D108">
        <v>401</v>
      </c>
      <c r="E108">
        <v>325</v>
      </c>
      <c r="F108">
        <v>274</v>
      </c>
      <c r="G108">
        <v>210</v>
      </c>
      <c r="H108">
        <v>172</v>
      </c>
      <c r="I108">
        <v>146</v>
      </c>
      <c r="J108">
        <v>128</v>
      </c>
      <c r="K108">
        <v>93</v>
      </c>
      <c r="L108">
        <v>74</v>
      </c>
      <c r="M108">
        <v>53</v>
      </c>
    </row>
    <row r="109" spans="1:13" x14ac:dyDescent="0.2">
      <c r="B109">
        <v>0.02</v>
      </c>
      <c r="C109">
        <v>540.79999999999995</v>
      </c>
      <c r="D109">
        <v>421.05</v>
      </c>
      <c r="E109">
        <v>344.5</v>
      </c>
      <c r="F109">
        <v>290.44</v>
      </c>
      <c r="G109">
        <v>222.6</v>
      </c>
      <c r="H109">
        <v>182.32</v>
      </c>
      <c r="I109">
        <v>154.76</v>
      </c>
      <c r="J109">
        <v>135.68</v>
      </c>
      <c r="K109">
        <v>98.58</v>
      </c>
      <c r="L109">
        <v>79.180000000000007</v>
      </c>
      <c r="M109">
        <v>56.71</v>
      </c>
    </row>
    <row r="110" spans="1:13" x14ac:dyDescent="0.2">
      <c r="B110">
        <v>0.01</v>
      </c>
      <c r="C110">
        <v>566.79999999999995</v>
      </c>
      <c r="D110">
        <v>441.1</v>
      </c>
      <c r="E110">
        <v>360.75</v>
      </c>
      <c r="F110">
        <v>304.14</v>
      </c>
      <c r="G110">
        <v>233.1</v>
      </c>
      <c r="H110">
        <v>192.64</v>
      </c>
      <c r="I110">
        <v>163.52000000000001</v>
      </c>
      <c r="J110">
        <v>143.36000000000001</v>
      </c>
      <c r="K110">
        <v>105.09</v>
      </c>
      <c r="L110">
        <v>83.62</v>
      </c>
      <c r="M110">
        <v>60.42</v>
      </c>
    </row>
    <row r="111" spans="1:13" x14ac:dyDescent="0.2">
      <c r="A111">
        <v>12</v>
      </c>
      <c r="B111" t="s">
        <v>127</v>
      </c>
      <c r="E111" t="s">
        <v>117</v>
      </c>
    </row>
    <row r="112" spans="1:13" x14ac:dyDescent="0.2">
      <c r="B112" t="s">
        <v>52</v>
      </c>
      <c r="C112">
        <v>5</v>
      </c>
      <c r="D112">
        <v>10</v>
      </c>
      <c r="E112">
        <v>15</v>
      </c>
      <c r="F112">
        <v>20</v>
      </c>
      <c r="G112">
        <v>30</v>
      </c>
      <c r="H112">
        <v>40</v>
      </c>
      <c r="I112">
        <v>50</v>
      </c>
      <c r="J112">
        <v>60</v>
      </c>
      <c r="K112">
        <v>90</v>
      </c>
      <c r="L112">
        <v>120</v>
      </c>
      <c r="M112">
        <v>180</v>
      </c>
    </row>
    <row r="113" spans="1:13" x14ac:dyDescent="0.2">
      <c r="B113">
        <v>1</v>
      </c>
      <c r="C113">
        <v>245</v>
      </c>
      <c r="D113">
        <v>162</v>
      </c>
      <c r="E113">
        <v>125</v>
      </c>
      <c r="F113">
        <v>103</v>
      </c>
      <c r="G113">
        <v>77</v>
      </c>
      <c r="H113">
        <v>62</v>
      </c>
      <c r="I113">
        <v>53</v>
      </c>
      <c r="J113">
        <v>45</v>
      </c>
      <c r="K113">
        <v>32</v>
      </c>
      <c r="L113">
        <v>25</v>
      </c>
      <c r="M113">
        <v>17</v>
      </c>
    </row>
    <row r="114" spans="1:13" x14ac:dyDescent="0.2">
      <c r="B114">
        <v>0.5</v>
      </c>
      <c r="C114">
        <v>295</v>
      </c>
      <c r="D114">
        <v>200</v>
      </c>
      <c r="E114">
        <v>154</v>
      </c>
      <c r="F114">
        <v>127</v>
      </c>
      <c r="G114">
        <v>95</v>
      </c>
      <c r="H114">
        <v>77</v>
      </c>
      <c r="I114">
        <v>65</v>
      </c>
      <c r="J114">
        <v>56</v>
      </c>
      <c r="K114">
        <v>41</v>
      </c>
      <c r="L114">
        <v>32</v>
      </c>
      <c r="M114">
        <v>22</v>
      </c>
    </row>
    <row r="115" spans="1:13" x14ac:dyDescent="0.2">
      <c r="B115">
        <v>0.2</v>
      </c>
      <c r="C115">
        <v>368</v>
      </c>
      <c r="D115">
        <v>254</v>
      </c>
      <c r="E115">
        <v>194</v>
      </c>
      <c r="F115">
        <v>160</v>
      </c>
      <c r="G115">
        <v>119</v>
      </c>
      <c r="H115">
        <v>94</v>
      </c>
      <c r="I115">
        <v>79</v>
      </c>
      <c r="J115">
        <v>68</v>
      </c>
      <c r="K115">
        <v>48</v>
      </c>
      <c r="L115">
        <v>38</v>
      </c>
      <c r="M115">
        <v>25</v>
      </c>
    </row>
    <row r="116" spans="1:13" x14ac:dyDescent="0.2">
      <c r="B116">
        <v>0.1</v>
      </c>
      <c r="C116">
        <v>412</v>
      </c>
      <c r="D116">
        <v>288</v>
      </c>
      <c r="E116">
        <v>220</v>
      </c>
      <c r="F116">
        <v>180</v>
      </c>
      <c r="G116">
        <v>134</v>
      </c>
      <c r="H116">
        <v>107</v>
      </c>
      <c r="I116">
        <v>88</v>
      </c>
      <c r="J116">
        <v>76</v>
      </c>
      <c r="K116">
        <v>54</v>
      </c>
      <c r="L116">
        <v>42</v>
      </c>
      <c r="M116">
        <v>28</v>
      </c>
    </row>
    <row r="117" spans="1:13" x14ac:dyDescent="0.2">
      <c r="B117">
        <v>0.05</v>
      </c>
      <c r="C117">
        <v>463</v>
      </c>
      <c r="D117">
        <v>320</v>
      </c>
      <c r="E117">
        <v>248</v>
      </c>
      <c r="F117">
        <v>202</v>
      </c>
      <c r="G117">
        <v>150</v>
      </c>
      <c r="H117">
        <v>120</v>
      </c>
      <c r="I117">
        <v>99</v>
      </c>
      <c r="J117">
        <v>85</v>
      </c>
      <c r="K117">
        <v>60</v>
      </c>
      <c r="L117">
        <v>46</v>
      </c>
      <c r="M117">
        <v>31</v>
      </c>
    </row>
    <row r="118" spans="1:13" x14ac:dyDescent="0.2">
      <c r="B118">
        <v>3.3000000000000002E-2</v>
      </c>
      <c r="C118">
        <v>490</v>
      </c>
      <c r="D118">
        <v>338</v>
      </c>
      <c r="E118">
        <v>262</v>
      </c>
      <c r="F118">
        <v>213</v>
      </c>
      <c r="G118">
        <v>158</v>
      </c>
      <c r="H118">
        <v>127</v>
      </c>
      <c r="I118">
        <v>105</v>
      </c>
      <c r="J118">
        <v>90</v>
      </c>
      <c r="K118">
        <v>63</v>
      </c>
      <c r="L118">
        <v>49</v>
      </c>
      <c r="M118">
        <v>33</v>
      </c>
    </row>
    <row r="119" spans="1:13" x14ac:dyDescent="0.2">
      <c r="B119">
        <v>0.02</v>
      </c>
      <c r="C119">
        <v>509.6</v>
      </c>
      <c r="D119">
        <v>354.9</v>
      </c>
      <c r="E119">
        <v>277.72000000000003</v>
      </c>
      <c r="F119">
        <v>225.78</v>
      </c>
      <c r="G119">
        <v>167.48</v>
      </c>
      <c r="H119">
        <v>134.62</v>
      </c>
      <c r="I119">
        <v>111.3</v>
      </c>
      <c r="J119">
        <v>95.4</v>
      </c>
      <c r="K119">
        <v>66.78</v>
      </c>
      <c r="L119">
        <v>52.43</v>
      </c>
      <c r="M119">
        <v>35.31</v>
      </c>
    </row>
    <row r="120" spans="1:13" x14ac:dyDescent="0.2">
      <c r="B120">
        <v>0.01</v>
      </c>
      <c r="C120">
        <v>534.1</v>
      </c>
      <c r="D120">
        <v>371.8</v>
      </c>
      <c r="E120">
        <v>290.82</v>
      </c>
      <c r="F120">
        <v>236.43</v>
      </c>
      <c r="G120">
        <v>175.38</v>
      </c>
      <c r="H120">
        <v>140</v>
      </c>
      <c r="I120">
        <v>118</v>
      </c>
      <c r="J120">
        <v>100.8</v>
      </c>
      <c r="K120">
        <v>71.19</v>
      </c>
      <c r="L120">
        <v>55.37</v>
      </c>
      <c r="M120">
        <v>37.619999999999997</v>
      </c>
    </row>
    <row r="121" spans="1:13" x14ac:dyDescent="0.2">
      <c r="A121">
        <v>13</v>
      </c>
      <c r="B121" t="s">
        <v>128</v>
      </c>
      <c r="E121" t="s">
        <v>117</v>
      </c>
    </row>
    <row r="122" spans="1:13" x14ac:dyDescent="0.2">
      <c r="B122" t="s">
        <v>52</v>
      </c>
      <c r="C122">
        <v>5</v>
      </c>
      <c r="D122">
        <v>10</v>
      </c>
      <c r="E122">
        <v>15</v>
      </c>
      <c r="F122">
        <v>20</v>
      </c>
      <c r="G122">
        <v>30</v>
      </c>
      <c r="H122">
        <v>40</v>
      </c>
      <c r="I122">
        <v>50</v>
      </c>
      <c r="J122">
        <v>60</v>
      </c>
      <c r="K122">
        <v>90</v>
      </c>
      <c r="L122">
        <v>120</v>
      </c>
      <c r="M122">
        <v>180</v>
      </c>
    </row>
    <row r="123" spans="1:13" x14ac:dyDescent="0.2">
      <c r="B123">
        <v>1</v>
      </c>
      <c r="C123">
        <v>231</v>
      </c>
      <c r="D123">
        <v>166</v>
      </c>
      <c r="E123">
        <v>130</v>
      </c>
      <c r="F123">
        <v>108</v>
      </c>
      <c r="G123">
        <v>81</v>
      </c>
      <c r="H123">
        <v>65</v>
      </c>
      <c r="I123">
        <v>54</v>
      </c>
      <c r="J123">
        <v>47</v>
      </c>
      <c r="K123">
        <v>33</v>
      </c>
      <c r="L123">
        <v>25</v>
      </c>
      <c r="M123">
        <v>17</v>
      </c>
    </row>
    <row r="124" spans="1:13" x14ac:dyDescent="0.2">
      <c r="B124">
        <v>0.5</v>
      </c>
      <c r="C124">
        <v>281</v>
      </c>
      <c r="D124">
        <v>200</v>
      </c>
      <c r="E124">
        <v>157</v>
      </c>
      <c r="F124">
        <v>130</v>
      </c>
      <c r="G124">
        <v>98</v>
      </c>
      <c r="H124">
        <v>79</v>
      </c>
      <c r="I124">
        <v>66</v>
      </c>
      <c r="J124">
        <v>57</v>
      </c>
      <c r="K124">
        <v>40</v>
      </c>
      <c r="L124">
        <v>31</v>
      </c>
      <c r="M124">
        <v>21</v>
      </c>
    </row>
    <row r="125" spans="1:13" x14ac:dyDescent="0.2">
      <c r="B125">
        <v>0.2</v>
      </c>
      <c r="C125">
        <v>323</v>
      </c>
      <c r="D125">
        <v>237</v>
      </c>
      <c r="E125">
        <v>187</v>
      </c>
      <c r="F125">
        <v>156</v>
      </c>
      <c r="G125">
        <v>118</v>
      </c>
      <c r="H125">
        <v>96</v>
      </c>
      <c r="I125">
        <v>80</v>
      </c>
      <c r="J125">
        <v>70</v>
      </c>
      <c r="K125">
        <v>50</v>
      </c>
      <c r="L125">
        <v>40</v>
      </c>
      <c r="M125">
        <v>27</v>
      </c>
    </row>
    <row r="126" spans="1:13" x14ac:dyDescent="0.2">
      <c r="B126">
        <v>0.1</v>
      </c>
      <c r="C126">
        <v>342</v>
      </c>
      <c r="D126">
        <v>257</v>
      </c>
      <c r="E126">
        <v>207</v>
      </c>
      <c r="F126">
        <v>174</v>
      </c>
      <c r="G126">
        <v>133</v>
      </c>
      <c r="H126">
        <v>108</v>
      </c>
      <c r="I126">
        <v>91</v>
      </c>
      <c r="J126">
        <v>80</v>
      </c>
      <c r="K126">
        <v>57</v>
      </c>
      <c r="L126">
        <v>45</v>
      </c>
      <c r="M126">
        <v>32</v>
      </c>
    </row>
    <row r="127" spans="1:13" x14ac:dyDescent="0.2">
      <c r="B127">
        <v>0.05</v>
      </c>
      <c r="C127">
        <v>370</v>
      </c>
      <c r="D127">
        <v>280</v>
      </c>
      <c r="E127">
        <v>224</v>
      </c>
      <c r="F127">
        <v>191</v>
      </c>
      <c r="G127">
        <v>148</v>
      </c>
      <c r="H127">
        <v>122</v>
      </c>
      <c r="I127">
        <v>102</v>
      </c>
      <c r="J127">
        <v>89</v>
      </c>
      <c r="K127">
        <v>64</v>
      </c>
      <c r="L127">
        <v>51</v>
      </c>
      <c r="M127">
        <v>36</v>
      </c>
    </row>
    <row r="128" spans="1:13" x14ac:dyDescent="0.2">
      <c r="B128">
        <v>3.3000000000000002E-2</v>
      </c>
      <c r="C128">
        <v>387</v>
      </c>
      <c r="D128">
        <v>293</v>
      </c>
      <c r="E128">
        <v>235</v>
      </c>
      <c r="F128">
        <v>200</v>
      </c>
      <c r="G128">
        <v>156</v>
      </c>
      <c r="H128">
        <v>128</v>
      </c>
      <c r="I128">
        <v>108</v>
      </c>
      <c r="J128">
        <v>94</v>
      </c>
      <c r="K128">
        <v>68</v>
      </c>
      <c r="L128">
        <v>54</v>
      </c>
      <c r="M128">
        <v>38</v>
      </c>
    </row>
    <row r="129" spans="1:13" x14ac:dyDescent="0.2">
      <c r="B129">
        <v>0.02</v>
      </c>
      <c r="C129">
        <v>402.48</v>
      </c>
      <c r="D129">
        <v>307.64999999999998</v>
      </c>
      <c r="E129">
        <v>249.1</v>
      </c>
      <c r="F129">
        <v>212</v>
      </c>
      <c r="G129">
        <v>165.36</v>
      </c>
      <c r="H129">
        <v>135.68</v>
      </c>
      <c r="I129">
        <v>114.48</v>
      </c>
      <c r="J129">
        <v>99.64</v>
      </c>
      <c r="K129">
        <v>72.08</v>
      </c>
      <c r="L129">
        <v>57.78</v>
      </c>
      <c r="M129">
        <v>40.659999999999997</v>
      </c>
    </row>
    <row r="130" spans="1:13" x14ac:dyDescent="0.2">
      <c r="B130">
        <v>0.01</v>
      </c>
      <c r="C130">
        <v>421.83</v>
      </c>
      <c r="D130">
        <v>322.3</v>
      </c>
      <c r="E130">
        <v>260.85000000000002</v>
      </c>
      <c r="F130">
        <v>222</v>
      </c>
      <c r="G130">
        <v>173.16</v>
      </c>
      <c r="H130">
        <v>143.36000000000001</v>
      </c>
      <c r="I130">
        <v>120.96</v>
      </c>
      <c r="J130">
        <v>105.28</v>
      </c>
      <c r="K130">
        <v>76.84</v>
      </c>
      <c r="L130">
        <v>61.02</v>
      </c>
      <c r="M130">
        <v>43.32</v>
      </c>
    </row>
    <row r="131" spans="1:13" x14ac:dyDescent="0.2">
      <c r="A131">
        <v>14</v>
      </c>
      <c r="B131" t="s">
        <v>129</v>
      </c>
      <c r="E131" t="s">
        <v>117</v>
      </c>
    </row>
    <row r="132" spans="1:13" x14ac:dyDescent="0.2">
      <c r="B132" t="s">
        <v>52</v>
      </c>
      <c r="C132">
        <v>5</v>
      </c>
      <c r="D132">
        <v>10</v>
      </c>
      <c r="E132">
        <v>15</v>
      </c>
      <c r="F132">
        <v>20</v>
      </c>
      <c r="G132">
        <v>30</v>
      </c>
      <c r="H132">
        <v>40</v>
      </c>
      <c r="I132">
        <v>50</v>
      </c>
      <c r="J132">
        <v>60</v>
      </c>
      <c r="K132">
        <v>90</v>
      </c>
      <c r="L132">
        <v>120</v>
      </c>
      <c r="M132">
        <v>180</v>
      </c>
    </row>
    <row r="133" spans="1:13" x14ac:dyDescent="0.2">
      <c r="B133">
        <v>1</v>
      </c>
      <c r="C133">
        <v>293</v>
      </c>
      <c r="D133">
        <v>200</v>
      </c>
      <c r="E133">
        <v>153</v>
      </c>
      <c r="F133">
        <v>125</v>
      </c>
      <c r="G133">
        <v>92</v>
      </c>
      <c r="H133">
        <v>74</v>
      </c>
      <c r="I133">
        <v>61</v>
      </c>
      <c r="J133">
        <v>52</v>
      </c>
      <c r="K133">
        <v>37</v>
      </c>
      <c r="L133">
        <v>28</v>
      </c>
      <c r="M133">
        <v>19</v>
      </c>
    </row>
    <row r="134" spans="1:13" x14ac:dyDescent="0.2">
      <c r="B134">
        <v>0.5</v>
      </c>
      <c r="C134">
        <v>355</v>
      </c>
      <c r="D134">
        <v>249</v>
      </c>
      <c r="E134">
        <v>194</v>
      </c>
      <c r="F134">
        <v>160</v>
      </c>
      <c r="G134">
        <v>120</v>
      </c>
      <c r="H134">
        <v>96</v>
      </c>
      <c r="I134">
        <v>80</v>
      </c>
      <c r="J134">
        <v>69</v>
      </c>
      <c r="K134">
        <v>49</v>
      </c>
      <c r="L134">
        <v>38</v>
      </c>
      <c r="M134">
        <v>26</v>
      </c>
    </row>
    <row r="135" spans="1:13" x14ac:dyDescent="0.2">
      <c r="B135">
        <v>0.2</v>
      </c>
      <c r="C135">
        <v>423</v>
      </c>
      <c r="D135">
        <v>307</v>
      </c>
      <c r="E135">
        <v>245</v>
      </c>
      <c r="F135">
        <v>205</v>
      </c>
      <c r="G135">
        <v>156</v>
      </c>
      <c r="H135">
        <v>127</v>
      </c>
      <c r="I135">
        <v>108</v>
      </c>
      <c r="J135">
        <v>93</v>
      </c>
      <c r="K135">
        <v>68</v>
      </c>
      <c r="L135">
        <v>54</v>
      </c>
      <c r="M135">
        <v>38</v>
      </c>
    </row>
    <row r="136" spans="1:13" x14ac:dyDescent="0.2">
      <c r="B136">
        <v>0.1</v>
      </c>
      <c r="C136">
        <v>482</v>
      </c>
      <c r="D136">
        <v>353</v>
      </c>
      <c r="E136">
        <v>284</v>
      </c>
      <c r="F136">
        <v>240</v>
      </c>
      <c r="G136">
        <v>185</v>
      </c>
      <c r="H136">
        <v>153</v>
      </c>
      <c r="I136">
        <v>131</v>
      </c>
      <c r="J136">
        <v>115</v>
      </c>
      <c r="K136">
        <v>84</v>
      </c>
      <c r="L136">
        <v>68</v>
      </c>
      <c r="M136">
        <v>48</v>
      </c>
    </row>
    <row r="137" spans="1:13" x14ac:dyDescent="0.2">
      <c r="B137">
        <v>0.05</v>
      </c>
      <c r="C137">
        <v>540</v>
      </c>
      <c r="D137">
        <v>396</v>
      </c>
      <c r="E137">
        <v>320</v>
      </c>
      <c r="F137">
        <v>270</v>
      </c>
      <c r="G137">
        <v>211</v>
      </c>
      <c r="H137">
        <v>176</v>
      </c>
      <c r="I137">
        <v>151</v>
      </c>
      <c r="J137">
        <v>133</v>
      </c>
      <c r="K137">
        <v>98</v>
      </c>
      <c r="L137">
        <v>80</v>
      </c>
      <c r="M137">
        <v>58</v>
      </c>
    </row>
    <row r="138" spans="1:13" x14ac:dyDescent="0.2">
      <c r="B138">
        <v>3.3000000000000002E-2</v>
      </c>
      <c r="C138">
        <v>582</v>
      </c>
      <c r="D138">
        <v>426</v>
      </c>
      <c r="E138">
        <v>344</v>
      </c>
      <c r="F138">
        <v>293</v>
      </c>
      <c r="G138">
        <v>231</v>
      </c>
      <c r="H138">
        <v>193</v>
      </c>
      <c r="I138">
        <v>166</v>
      </c>
      <c r="J138">
        <v>147</v>
      </c>
      <c r="K138">
        <v>110</v>
      </c>
      <c r="L138">
        <v>90</v>
      </c>
      <c r="M138">
        <v>66</v>
      </c>
    </row>
    <row r="139" spans="1:13" x14ac:dyDescent="0.2">
      <c r="B139">
        <v>0.02</v>
      </c>
      <c r="C139">
        <v>618</v>
      </c>
      <c r="D139">
        <v>449</v>
      </c>
      <c r="E139">
        <v>367</v>
      </c>
      <c r="F139">
        <v>313</v>
      </c>
      <c r="G139">
        <v>250</v>
      </c>
      <c r="H139">
        <v>210</v>
      </c>
      <c r="I139">
        <v>182</v>
      </c>
      <c r="J139">
        <v>162</v>
      </c>
      <c r="K139">
        <v>122</v>
      </c>
      <c r="L139">
        <v>100</v>
      </c>
      <c r="M139">
        <v>75</v>
      </c>
    </row>
    <row r="140" spans="1:13" x14ac:dyDescent="0.2">
      <c r="B140">
        <v>0.01</v>
      </c>
      <c r="C140">
        <v>648.9</v>
      </c>
      <c r="D140">
        <v>471.45</v>
      </c>
      <c r="E140">
        <v>385.35</v>
      </c>
      <c r="F140">
        <v>328.65</v>
      </c>
      <c r="G140">
        <v>262.5</v>
      </c>
      <c r="H140">
        <v>220.5</v>
      </c>
      <c r="I140">
        <v>191.1</v>
      </c>
      <c r="J140">
        <v>171.72</v>
      </c>
      <c r="K140">
        <v>129.32</v>
      </c>
      <c r="L140">
        <v>106</v>
      </c>
      <c r="M140">
        <v>80.25</v>
      </c>
    </row>
    <row r="141" spans="1:13" x14ac:dyDescent="0.2">
      <c r="A141">
        <v>15</v>
      </c>
      <c r="B141" t="s">
        <v>130</v>
      </c>
      <c r="E141" t="s">
        <v>117</v>
      </c>
    </row>
    <row r="142" spans="1:13" x14ac:dyDescent="0.2">
      <c r="B142" t="s">
        <v>52</v>
      </c>
      <c r="C142">
        <v>5</v>
      </c>
      <c r="D142">
        <v>10</v>
      </c>
      <c r="E142">
        <v>15</v>
      </c>
      <c r="F142">
        <v>20</v>
      </c>
      <c r="G142">
        <v>30</v>
      </c>
      <c r="H142">
        <v>40</v>
      </c>
      <c r="I142">
        <v>50</v>
      </c>
      <c r="J142">
        <v>60</v>
      </c>
      <c r="K142">
        <v>90</v>
      </c>
      <c r="L142">
        <v>120</v>
      </c>
      <c r="M142">
        <v>180</v>
      </c>
    </row>
    <row r="143" spans="1:13" x14ac:dyDescent="0.2">
      <c r="B143">
        <v>1</v>
      </c>
      <c r="C143">
        <v>228</v>
      </c>
      <c r="D143">
        <v>146</v>
      </c>
      <c r="E143">
        <v>112</v>
      </c>
      <c r="F143">
        <v>90</v>
      </c>
      <c r="G143">
        <v>66</v>
      </c>
      <c r="H143">
        <v>52</v>
      </c>
      <c r="I143">
        <v>43</v>
      </c>
      <c r="J143">
        <v>37</v>
      </c>
      <c r="K143">
        <v>26</v>
      </c>
      <c r="L143">
        <v>20</v>
      </c>
      <c r="M143">
        <v>14</v>
      </c>
    </row>
    <row r="144" spans="1:13" x14ac:dyDescent="0.2">
      <c r="B144">
        <v>0.5</v>
      </c>
      <c r="C144">
        <v>277</v>
      </c>
      <c r="D144">
        <v>182</v>
      </c>
      <c r="E144">
        <v>138</v>
      </c>
      <c r="F144">
        <v>114</v>
      </c>
      <c r="G144">
        <v>84</v>
      </c>
      <c r="H144">
        <v>68</v>
      </c>
      <c r="I144">
        <v>57</v>
      </c>
      <c r="J144">
        <v>49</v>
      </c>
      <c r="K144">
        <v>35</v>
      </c>
      <c r="L144">
        <v>27</v>
      </c>
      <c r="M144">
        <v>18</v>
      </c>
    </row>
    <row r="145" spans="1:13" x14ac:dyDescent="0.2">
      <c r="B145">
        <v>0.2</v>
      </c>
      <c r="C145">
        <v>338</v>
      </c>
      <c r="D145">
        <v>233</v>
      </c>
      <c r="E145">
        <v>181</v>
      </c>
      <c r="F145">
        <v>149</v>
      </c>
      <c r="G145">
        <v>112</v>
      </c>
      <c r="H145">
        <v>89</v>
      </c>
      <c r="I145">
        <v>74</v>
      </c>
      <c r="J145">
        <v>64</v>
      </c>
      <c r="K145">
        <v>46</v>
      </c>
      <c r="L145">
        <v>35</v>
      </c>
      <c r="M145">
        <v>24</v>
      </c>
    </row>
    <row r="146" spans="1:13" x14ac:dyDescent="0.2">
      <c r="B146">
        <v>0.1</v>
      </c>
      <c r="C146">
        <v>400</v>
      </c>
      <c r="D146">
        <v>276</v>
      </c>
      <c r="E146">
        <v>214</v>
      </c>
      <c r="F146">
        <v>175</v>
      </c>
      <c r="G146">
        <v>130</v>
      </c>
      <c r="H146">
        <v>103</v>
      </c>
      <c r="I146">
        <v>86</v>
      </c>
      <c r="J146">
        <v>75</v>
      </c>
      <c r="K146">
        <v>52</v>
      </c>
      <c r="L146">
        <v>41</v>
      </c>
      <c r="M146">
        <v>28</v>
      </c>
    </row>
    <row r="147" spans="1:13" x14ac:dyDescent="0.2">
      <c r="B147">
        <v>0.05</v>
      </c>
      <c r="C147">
        <v>443</v>
      </c>
      <c r="D147">
        <v>300</v>
      </c>
      <c r="E147">
        <v>235</v>
      </c>
      <c r="F147">
        <v>192</v>
      </c>
      <c r="G147">
        <v>143</v>
      </c>
      <c r="H147">
        <v>116</v>
      </c>
      <c r="I147">
        <v>96</v>
      </c>
      <c r="J147">
        <v>84</v>
      </c>
      <c r="K147">
        <v>59</v>
      </c>
      <c r="L147">
        <v>46</v>
      </c>
      <c r="M147">
        <v>32</v>
      </c>
    </row>
    <row r="148" spans="1:13" x14ac:dyDescent="0.2">
      <c r="B148">
        <v>3.3000000000000002E-2</v>
      </c>
      <c r="C148">
        <v>490</v>
      </c>
      <c r="D148">
        <v>330</v>
      </c>
      <c r="E148">
        <v>254</v>
      </c>
      <c r="F148">
        <v>209</v>
      </c>
      <c r="G148">
        <v>156</v>
      </c>
      <c r="H148">
        <v>125</v>
      </c>
      <c r="I148">
        <v>104</v>
      </c>
      <c r="J148">
        <v>90</v>
      </c>
      <c r="K148">
        <v>64</v>
      </c>
      <c r="L148">
        <v>50</v>
      </c>
      <c r="M148">
        <v>35</v>
      </c>
    </row>
    <row r="149" spans="1:13" x14ac:dyDescent="0.2">
      <c r="B149">
        <v>0.02</v>
      </c>
      <c r="C149">
        <v>506</v>
      </c>
      <c r="D149">
        <v>344</v>
      </c>
      <c r="E149">
        <v>265</v>
      </c>
      <c r="F149">
        <v>216</v>
      </c>
      <c r="G149">
        <v>162</v>
      </c>
      <c r="H149">
        <v>131</v>
      </c>
      <c r="I149">
        <v>110</v>
      </c>
      <c r="J149">
        <v>94</v>
      </c>
      <c r="K149">
        <v>67</v>
      </c>
      <c r="L149">
        <v>52</v>
      </c>
      <c r="M149">
        <v>36</v>
      </c>
    </row>
    <row r="150" spans="1:13" x14ac:dyDescent="0.2">
      <c r="B150">
        <v>0.01</v>
      </c>
      <c r="C150">
        <v>552</v>
      </c>
      <c r="D150">
        <v>368</v>
      </c>
      <c r="E150">
        <v>280</v>
      </c>
      <c r="F150">
        <v>230</v>
      </c>
      <c r="G150">
        <v>171</v>
      </c>
      <c r="H150">
        <v>136</v>
      </c>
      <c r="I150">
        <v>114</v>
      </c>
      <c r="J150">
        <v>98</v>
      </c>
      <c r="K150">
        <v>70</v>
      </c>
      <c r="L150">
        <v>55</v>
      </c>
      <c r="M150">
        <v>39</v>
      </c>
    </row>
    <row r="151" spans="1:13" x14ac:dyDescent="0.2">
      <c r="A151">
        <v>16</v>
      </c>
      <c r="B151" t="s">
        <v>131</v>
      </c>
      <c r="E151" t="s">
        <v>117</v>
      </c>
    </row>
    <row r="152" spans="1:13" x14ac:dyDescent="0.2">
      <c r="B152" t="s">
        <v>52</v>
      </c>
      <c r="C152">
        <v>5</v>
      </c>
      <c r="D152">
        <v>10</v>
      </c>
      <c r="E152">
        <v>15</v>
      </c>
      <c r="F152">
        <v>20</v>
      </c>
      <c r="G152">
        <v>30</v>
      </c>
      <c r="H152">
        <v>40</v>
      </c>
      <c r="I152">
        <v>50</v>
      </c>
      <c r="J152">
        <v>60</v>
      </c>
      <c r="K152">
        <v>90</v>
      </c>
      <c r="L152">
        <v>120</v>
      </c>
      <c r="M152">
        <v>180</v>
      </c>
    </row>
    <row r="153" spans="1:13" x14ac:dyDescent="0.2">
      <c r="B153">
        <v>1</v>
      </c>
      <c r="C153">
        <v>250</v>
      </c>
      <c r="D153">
        <v>173</v>
      </c>
      <c r="E153">
        <v>134</v>
      </c>
      <c r="F153">
        <v>111</v>
      </c>
      <c r="G153">
        <v>84</v>
      </c>
      <c r="H153">
        <v>68</v>
      </c>
      <c r="I153">
        <v>57</v>
      </c>
      <c r="J153">
        <v>50</v>
      </c>
      <c r="K153">
        <v>36</v>
      </c>
      <c r="L153">
        <v>28</v>
      </c>
      <c r="M153">
        <v>20</v>
      </c>
    </row>
    <row r="154" spans="1:13" x14ac:dyDescent="0.2">
      <c r="B154">
        <v>0.5</v>
      </c>
      <c r="C154">
        <v>287</v>
      </c>
      <c r="D154">
        <v>202</v>
      </c>
      <c r="E154">
        <v>163</v>
      </c>
      <c r="F154">
        <v>137</v>
      </c>
      <c r="G154">
        <v>103</v>
      </c>
      <c r="H154">
        <v>84</v>
      </c>
      <c r="I154">
        <v>71</v>
      </c>
      <c r="J154">
        <v>61</v>
      </c>
      <c r="K154">
        <v>44</v>
      </c>
      <c r="L154">
        <v>34</v>
      </c>
      <c r="M154">
        <v>24</v>
      </c>
    </row>
    <row r="155" spans="1:13" x14ac:dyDescent="0.2">
      <c r="B155">
        <v>0.2</v>
      </c>
      <c r="C155">
        <v>350</v>
      </c>
      <c r="D155">
        <v>248</v>
      </c>
      <c r="E155">
        <v>198</v>
      </c>
      <c r="F155">
        <v>165</v>
      </c>
      <c r="G155">
        <v>128</v>
      </c>
      <c r="H155">
        <v>104</v>
      </c>
      <c r="I155">
        <v>87</v>
      </c>
      <c r="J155">
        <v>76</v>
      </c>
      <c r="K155">
        <v>54</v>
      </c>
      <c r="L155">
        <v>43</v>
      </c>
      <c r="M155">
        <v>30</v>
      </c>
    </row>
    <row r="156" spans="1:13" x14ac:dyDescent="0.2">
      <c r="B156">
        <v>0.1</v>
      </c>
      <c r="C156">
        <v>390</v>
      </c>
      <c r="D156">
        <v>278</v>
      </c>
      <c r="E156">
        <v>220</v>
      </c>
      <c r="F156">
        <v>186</v>
      </c>
      <c r="G156">
        <v>142</v>
      </c>
      <c r="H156">
        <v>116</v>
      </c>
      <c r="I156">
        <v>97</v>
      </c>
      <c r="J156">
        <v>86</v>
      </c>
      <c r="K156">
        <v>61</v>
      </c>
      <c r="L156">
        <v>48</v>
      </c>
      <c r="M156">
        <v>34</v>
      </c>
    </row>
    <row r="157" spans="1:13" x14ac:dyDescent="0.2">
      <c r="B157">
        <v>0.05</v>
      </c>
      <c r="C157">
        <v>410</v>
      </c>
      <c r="D157">
        <v>304</v>
      </c>
      <c r="E157">
        <v>242</v>
      </c>
      <c r="F157">
        <v>202</v>
      </c>
      <c r="G157">
        <v>156</v>
      </c>
      <c r="H157">
        <v>128</v>
      </c>
      <c r="I157">
        <v>108</v>
      </c>
      <c r="J157">
        <v>92</v>
      </c>
      <c r="K157">
        <v>67</v>
      </c>
      <c r="L157">
        <v>52</v>
      </c>
      <c r="M157">
        <v>38</v>
      </c>
    </row>
    <row r="158" spans="1:13" x14ac:dyDescent="0.2">
      <c r="B158">
        <v>3.3000000000000002E-2</v>
      </c>
      <c r="C158">
        <v>440</v>
      </c>
      <c r="D158">
        <v>320</v>
      </c>
      <c r="E158">
        <v>255</v>
      </c>
      <c r="F158">
        <v>215</v>
      </c>
      <c r="G158">
        <v>167</v>
      </c>
      <c r="H158">
        <v>137</v>
      </c>
      <c r="I158">
        <v>117</v>
      </c>
      <c r="J158">
        <v>100</v>
      </c>
      <c r="K158">
        <v>72</v>
      </c>
      <c r="L158">
        <v>56</v>
      </c>
      <c r="M158">
        <v>38</v>
      </c>
    </row>
    <row r="159" spans="1:13" x14ac:dyDescent="0.2">
      <c r="B159">
        <v>0.02</v>
      </c>
      <c r="C159">
        <v>463</v>
      </c>
      <c r="D159">
        <v>340</v>
      </c>
      <c r="E159">
        <v>272</v>
      </c>
      <c r="F159">
        <v>230</v>
      </c>
      <c r="G159">
        <v>177</v>
      </c>
      <c r="H159">
        <v>145</v>
      </c>
      <c r="I159">
        <v>123</v>
      </c>
      <c r="J159">
        <v>107</v>
      </c>
      <c r="K159">
        <v>77</v>
      </c>
      <c r="L159">
        <v>60</v>
      </c>
      <c r="M159">
        <v>42</v>
      </c>
    </row>
    <row r="160" spans="1:13" x14ac:dyDescent="0.2">
      <c r="B160">
        <v>0.01</v>
      </c>
      <c r="C160">
        <v>486.15</v>
      </c>
      <c r="D160">
        <v>357</v>
      </c>
      <c r="E160">
        <v>285.60000000000002</v>
      </c>
      <c r="F160">
        <v>241.5</v>
      </c>
      <c r="G160">
        <v>185.85</v>
      </c>
      <c r="H160">
        <v>152.25</v>
      </c>
      <c r="I160">
        <v>129.15</v>
      </c>
      <c r="J160">
        <v>113.42</v>
      </c>
      <c r="K160">
        <v>81.62</v>
      </c>
      <c r="L160">
        <v>63.6</v>
      </c>
      <c r="M160">
        <v>44.94</v>
      </c>
    </row>
    <row r="161" spans="1:13" x14ac:dyDescent="0.2">
      <c r="A161">
        <v>17</v>
      </c>
      <c r="B161" t="s">
        <v>132</v>
      </c>
      <c r="E161" t="s">
        <v>117</v>
      </c>
    </row>
    <row r="162" spans="1:13" x14ac:dyDescent="0.2">
      <c r="B162" t="s">
        <v>52</v>
      </c>
      <c r="C162">
        <v>5</v>
      </c>
      <c r="D162">
        <v>10</v>
      </c>
      <c r="E162">
        <v>15</v>
      </c>
      <c r="F162">
        <v>20</v>
      </c>
      <c r="G162">
        <v>30</v>
      </c>
      <c r="H162">
        <v>40</v>
      </c>
      <c r="I162">
        <v>50</v>
      </c>
      <c r="J162">
        <v>60</v>
      </c>
      <c r="K162">
        <v>90</v>
      </c>
      <c r="L162">
        <v>120</v>
      </c>
      <c r="M162">
        <v>180</v>
      </c>
    </row>
    <row r="163" spans="1:13" x14ac:dyDescent="0.2">
      <c r="B163">
        <v>1</v>
      </c>
      <c r="C163">
        <v>273</v>
      </c>
      <c r="D163">
        <v>193</v>
      </c>
      <c r="E163">
        <v>149</v>
      </c>
      <c r="F163">
        <v>125</v>
      </c>
      <c r="G163">
        <v>95</v>
      </c>
      <c r="H163">
        <v>79</v>
      </c>
      <c r="I163">
        <v>67</v>
      </c>
      <c r="J163">
        <v>58</v>
      </c>
      <c r="K163">
        <v>42</v>
      </c>
      <c r="L163">
        <v>33</v>
      </c>
      <c r="M163">
        <v>23</v>
      </c>
    </row>
    <row r="164" spans="1:13" x14ac:dyDescent="0.2">
      <c r="B164">
        <v>0.5</v>
      </c>
      <c r="C164">
        <v>320</v>
      </c>
      <c r="D164">
        <v>234</v>
      </c>
      <c r="E164">
        <v>187</v>
      </c>
      <c r="F164">
        <v>158</v>
      </c>
      <c r="G164">
        <v>122</v>
      </c>
      <c r="H164">
        <v>99</v>
      </c>
      <c r="I164">
        <v>84</v>
      </c>
      <c r="J164">
        <v>74</v>
      </c>
      <c r="K164">
        <v>53</v>
      </c>
      <c r="L164">
        <v>42</v>
      </c>
      <c r="M164">
        <v>29</v>
      </c>
    </row>
    <row r="165" spans="1:13" x14ac:dyDescent="0.2">
      <c r="B165">
        <v>0.2</v>
      </c>
      <c r="C165">
        <v>378</v>
      </c>
      <c r="D165">
        <v>282</v>
      </c>
      <c r="E165">
        <v>226</v>
      </c>
      <c r="F165">
        <v>190</v>
      </c>
      <c r="G165">
        <v>148</v>
      </c>
      <c r="H165">
        <v>123</v>
      </c>
      <c r="I165">
        <v>105</v>
      </c>
      <c r="J165">
        <v>91</v>
      </c>
      <c r="K165">
        <v>66</v>
      </c>
      <c r="L165">
        <v>50</v>
      </c>
      <c r="M165">
        <v>36</v>
      </c>
    </row>
    <row r="166" spans="1:13" x14ac:dyDescent="0.2">
      <c r="B166">
        <v>0.1</v>
      </c>
      <c r="C166">
        <v>415</v>
      </c>
      <c r="D166">
        <v>310</v>
      </c>
      <c r="E166">
        <v>250</v>
      </c>
      <c r="F166">
        <v>214</v>
      </c>
      <c r="G166">
        <v>169</v>
      </c>
      <c r="H166">
        <v>140</v>
      </c>
      <c r="I166">
        <v>118</v>
      </c>
      <c r="J166">
        <v>103</v>
      </c>
      <c r="K166">
        <v>75</v>
      </c>
      <c r="L166">
        <v>60</v>
      </c>
      <c r="M166">
        <v>44</v>
      </c>
    </row>
    <row r="167" spans="1:13" x14ac:dyDescent="0.2">
      <c r="B167">
        <v>0.05</v>
      </c>
      <c r="C167">
        <v>448</v>
      </c>
      <c r="D167">
        <v>333</v>
      </c>
      <c r="E167">
        <v>270</v>
      </c>
      <c r="F167">
        <v>230</v>
      </c>
      <c r="G167">
        <v>183</v>
      </c>
      <c r="H167">
        <v>154</v>
      </c>
      <c r="I167">
        <v>131</v>
      </c>
      <c r="J167">
        <v>114</v>
      </c>
      <c r="K167">
        <v>84</v>
      </c>
      <c r="L167">
        <v>67</v>
      </c>
      <c r="M167">
        <v>48</v>
      </c>
    </row>
    <row r="168" spans="1:13" x14ac:dyDescent="0.2">
      <c r="B168">
        <v>3.3000000000000002E-2</v>
      </c>
      <c r="C168">
        <v>462</v>
      </c>
      <c r="D168">
        <v>350</v>
      </c>
      <c r="E168">
        <v>277</v>
      </c>
      <c r="F168">
        <v>245</v>
      </c>
      <c r="G168">
        <v>192</v>
      </c>
      <c r="H168">
        <v>160</v>
      </c>
      <c r="I168">
        <v>138</v>
      </c>
      <c r="J168">
        <v>120</v>
      </c>
      <c r="K168">
        <v>89</v>
      </c>
      <c r="L168">
        <v>71</v>
      </c>
      <c r="M168">
        <v>50</v>
      </c>
    </row>
    <row r="169" spans="1:13" x14ac:dyDescent="0.2">
      <c r="B169">
        <v>0.02</v>
      </c>
      <c r="C169">
        <v>480.48</v>
      </c>
      <c r="D169">
        <v>367.5</v>
      </c>
      <c r="E169">
        <v>293.62</v>
      </c>
      <c r="F169">
        <v>259.7</v>
      </c>
      <c r="G169">
        <v>203.52</v>
      </c>
      <c r="H169">
        <v>169.6</v>
      </c>
      <c r="I169">
        <v>146.28</v>
      </c>
      <c r="J169">
        <v>127.2</v>
      </c>
      <c r="K169">
        <v>94.34</v>
      </c>
      <c r="L169">
        <v>75.97</v>
      </c>
      <c r="M169">
        <v>53.5</v>
      </c>
    </row>
    <row r="170" spans="1:13" x14ac:dyDescent="0.2">
      <c r="B170">
        <v>0.01</v>
      </c>
      <c r="C170">
        <v>503.58</v>
      </c>
      <c r="D170">
        <v>385</v>
      </c>
      <c r="E170">
        <v>319</v>
      </c>
      <c r="F170">
        <v>271.95</v>
      </c>
      <c r="G170">
        <v>213.12</v>
      </c>
      <c r="H170">
        <v>179.2</v>
      </c>
      <c r="I170">
        <v>154.56</v>
      </c>
      <c r="J170">
        <v>136</v>
      </c>
      <c r="K170">
        <v>100.57</v>
      </c>
      <c r="L170">
        <v>80.23</v>
      </c>
      <c r="M170">
        <v>57</v>
      </c>
    </row>
    <row r="171" spans="1:13" x14ac:dyDescent="0.2">
      <c r="A171">
        <v>18</v>
      </c>
      <c r="B171" t="s">
        <v>133</v>
      </c>
      <c r="E171" t="s">
        <v>117</v>
      </c>
    </row>
    <row r="172" spans="1:13" x14ac:dyDescent="0.2">
      <c r="B172" t="s">
        <v>52</v>
      </c>
      <c r="C172">
        <v>5</v>
      </c>
      <c r="D172">
        <v>10</v>
      </c>
      <c r="E172">
        <v>15</v>
      </c>
      <c r="F172">
        <v>20</v>
      </c>
      <c r="G172">
        <v>30</v>
      </c>
      <c r="H172">
        <v>40</v>
      </c>
      <c r="I172">
        <v>50</v>
      </c>
      <c r="J172">
        <v>60</v>
      </c>
      <c r="K172">
        <v>90</v>
      </c>
      <c r="L172">
        <v>120</v>
      </c>
      <c r="M172">
        <v>180</v>
      </c>
    </row>
    <row r="173" spans="1:13" x14ac:dyDescent="0.2">
      <c r="B173">
        <v>1</v>
      </c>
      <c r="C173">
        <v>225</v>
      </c>
      <c r="D173">
        <v>145</v>
      </c>
      <c r="E173">
        <v>110</v>
      </c>
      <c r="F173">
        <v>91</v>
      </c>
      <c r="G173">
        <v>69</v>
      </c>
      <c r="H173">
        <v>56</v>
      </c>
      <c r="I173">
        <v>48</v>
      </c>
      <c r="J173">
        <v>42</v>
      </c>
      <c r="K173">
        <v>30</v>
      </c>
      <c r="L173">
        <v>24</v>
      </c>
      <c r="M173">
        <v>17</v>
      </c>
    </row>
    <row r="174" spans="1:13" x14ac:dyDescent="0.2">
      <c r="B174">
        <v>0.5</v>
      </c>
      <c r="C174">
        <v>278</v>
      </c>
      <c r="D174">
        <v>185</v>
      </c>
      <c r="E174">
        <v>144</v>
      </c>
      <c r="F174">
        <v>119</v>
      </c>
      <c r="G174">
        <v>90</v>
      </c>
      <c r="H174">
        <v>74</v>
      </c>
      <c r="I174">
        <v>62</v>
      </c>
      <c r="J174">
        <v>54</v>
      </c>
      <c r="K174">
        <v>40</v>
      </c>
      <c r="L174">
        <v>32</v>
      </c>
      <c r="M174">
        <v>22</v>
      </c>
    </row>
    <row r="175" spans="1:13" x14ac:dyDescent="0.2">
      <c r="B175">
        <v>0.2</v>
      </c>
      <c r="C175">
        <v>356</v>
      </c>
      <c r="D175">
        <v>243</v>
      </c>
      <c r="E175">
        <v>193</v>
      </c>
      <c r="F175">
        <v>162</v>
      </c>
      <c r="G175">
        <v>125</v>
      </c>
      <c r="H175">
        <v>103</v>
      </c>
      <c r="I175">
        <v>87</v>
      </c>
      <c r="J175">
        <v>76</v>
      </c>
      <c r="K175">
        <v>56</v>
      </c>
      <c r="L175">
        <v>44</v>
      </c>
      <c r="M175">
        <v>32</v>
      </c>
    </row>
    <row r="176" spans="1:13" x14ac:dyDescent="0.2">
      <c r="B176">
        <v>0.1</v>
      </c>
      <c r="C176">
        <v>410</v>
      </c>
      <c r="D176">
        <v>291</v>
      </c>
      <c r="E176">
        <v>236</v>
      </c>
      <c r="F176">
        <v>202</v>
      </c>
      <c r="G176">
        <v>160</v>
      </c>
      <c r="H176">
        <v>133</v>
      </c>
      <c r="I176">
        <v>113</v>
      </c>
      <c r="J176">
        <v>98</v>
      </c>
      <c r="K176">
        <v>72</v>
      </c>
      <c r="L176">
        <v>58</v>
      </c>
      <c r="M176">
        <v>41</v>
      </c>
    </row>
    <row r="177" spans="1:13" x14ac:dyDescent="0.2">
      <c r="B177">
        <v>0.05</v>
      </c>
      <c r="C177">
        <v>462</v>
      </c>
      <c r="D177">
        <v>340</v>
      </c>
      <c r="E177">
        <v>278</v>
      </c>
      <c r="F177">
        <v>240</v>
      </c>
      <c r="G177">
        <v>193</v>
      </c>
      <c r="H177">
        <v>163</v>
      </c>
      <c r="I177">
        <v>142</v>
      </c>
      <c r="J177">
        <v>125</v>
      </c>
      <c r="K177">
        <v>93</v>
      </c>
      <c r="L177">
        <v>76</v>
      </c>
      <c r="M177">
        <v>55</v>
      </c>
    </row>
    <row r="178" spans="1:13" x14ac:dyDescent="0.2">
      <c r="B178">
        <v>3.3000000000000002E-2</v>
      </c>
      <c r="C178">
        <v>492</v>
      </c>
      <c r="D178">
        <v>368</v>
      </c>
      <c r="E178">
        <v>302</v>
      </c>
      <c r="F178">
        <v>263</v>
      </c>
      <c r="G178">
        <v>212</v>
      </c>
      <c r="H178">
        <v>181</v>
      </c>
      <c r="I178">
        <v>158</v>
      </c>
      <c r="J178">
        <v>141</v>
      </c>
      <c r="K178">
        <v>107</v>
      </c>
      <c r="L178">
        <v>87</v>
      </c>
      <c r="M178">
        <v>64</v>
      </c>
    </row>
    <row r="179" spans="1:13" x14ac:dyDescent="0.2">
      <c r="B179">
        <v>0.02</v>
      </c>
      <c r="C179">
        <v>511.68</v>
      </c>
      <c r="D179">
        <v>386.4</v>
      </c>
      <c r="E179">
        <v>320.12</v>
      </c>
      <c r="F179">
        <v>278.77999999999997</v>
      </c>
      <c r="G179">
        <v>224.72</v>
      </c>
      <c r="H179">
        <v>191.86</v>
      </c>
      <c r="I179">
        <v>167.48</v>
      </c>
      <c r="J179">
        <v>149.46</v>
      </c>
      <c r="K179">
        <v>113.42</v>
      </c>
      <c r="L179">
        <v>93.09</v>
      </c>
      <c r="M179">
        <v>68.48</v>
      </c>
    </row>
    <row r="180" spans="1:13" x14ac:dyDescent="0.2">
      <c r="B180">
        <v>0.01</v>
      </c>
      <c r="C180">
        <v>536.28</v>
      </c>
      <c r="D180">
        <v>404.8</v>
      </c>
      <c r="E180">
        <v>335.22</v>
      </c>
      <c r="F180">
        <v>291.93</v>
      </c>
      <c r="G180">
        <v>235.32</v>
      </c>
      <c r="H180">
        <v>202.72</v>
      </c>
      <c r="I180">
        <v>176.96</v>
      </c>
      <c r="J180">
        <v>157.91999999999999</v>
      </c>
      <c r="K180">
        <v>120.91</v>
      </c>
      <c r="L180">
        <v>98.31</v>
      </c>
      <c r="M180">
        <v>72.959999999999994</v>
      </c>
    </row>
    <row r="181" spans="1:13" x14ac:dyDescent="0.2">
      <c r="A181">
        <v>19</v>
      </c>
      <c r="B181" t="s">
        <v>134</v>
      </c>
      <c r="E181" t="s">
        <v>117</v>
      </c>
    </row>
    <row r="182" spans="1:13" x14ac:dyDescent="0.2">
      <c r="B182" t="s">
        <v>52</v>
      </c>
      <c r="C182">
        <v>5</v>
      </c>
      <c r="D182">
        <v>10</v>
      </c>
      <c r="E182">
        <v>15</v>
      </c>
      <c r="F182">
        <v>20</v>
      </c>
      <c r="G182">
        <v>30</v>
      </c>
      <c r="H182">
        <v>40</v>
      </c>
      <c r="I182">
        <v>50</v>
      </c>
      <c r="J182">
        <v>60</v>
      </c>
      <c r="K182">
        <v>90</v>
      </c>
      <c r="L182">
        <v>120</v>
      </c>
      <c r="M182">
        <v>180</v>
      </c>
    </row>
    <row r="183" spans="1:13" x14ac:dyDescent="0.2">
      <c r="B183">
        <v>1</v>
      </c>
      <c r="C183">
        <v>219</v>
      </c>
      <c r="D183">
        <v>138</v>
      </c>
      <c r="E183">
        <v>102</v>
      </c>
      <c r="F183">
        <v>82</v>
      </c>
      <c r="G183">
        <v>59</v>
      </c>
      <c r="H183">
        <v>46</v>
      </c>
      <c r="I183">
        <v>38</v>
      </c>
      <c r="J183">
        <v>32</v>
      </c>
      <c r="K183">
        <v>22</v>
      </c>
      <c r="L183">
        <v>17</v>
      </c>
      <c r="M183">
        <v>11</v>
      </c>
    </row>
    <row r="184" spans="1:13" x14ac:dyDescent="0.2">
      <c r="B184">
        <v>0.5</v>
      </c>
      <c r="C184">
        <v>273</v>
      </c>
      <c r="D184">
        <v>173</v>
      </c>
      <c r="E184">
        <v>130</v>
      </c>
      <c r="F184">
        <v>105</v>
      </c>
      <c r="G184">
        <v>76</v>
      </c>
      <c r="H184">
        <v>60</v>
      </c>
      <c r="I184">
        <v>49</v>
      </c>
      <c r="J184">
        <v>42</v>
      </c>
      <c r="K184">
        <v>29</v>
      </c>
      <c r="L184">
        <v>22</v>
      </c>
      <c r="M184">
        <v>14</v>
      </c>
    </row>
    <row r="185" spans="1:13" x14ac:dyDescent="0.2">
      <c r="B185">
        <v>0.2</v>
      </c>
      <c r="C185">
        <v>340</v>
      </c>
      <c r="D185">
        <v>224</v>
      </c>
      <c r="E185">
        <v>170</v>
      </c>
      <c r="F185">
        <v>137</v>
      </c>
      <c r="G185">
        <v>100</v>
      </c>
      <c r="H185">
        <v>79</v>
      </c>
      <c r="I185">
        <v>65</v>
      </c>
      <c r="J185">
        <v>55</v>
      </c>
      <c r="K185">
        <v>38</v>
      </c>
      <c r="L185">
        <v>29</v>
      </c>
      <c r="M185">
        <v>19</v>
      </c>
    </row>
    <row r="186" spans="1:13" x14ac:dyDescent="0.2">
      <c r="B186">
        <v>0.1</v>
      </c>
      <c r="C186">
        <v>385</v>
      </c>
      <c r="D186">
        <v>263</v>
      </c>
      <c r="E186">
        <v>200</v>
      </c>
      <c r="F186">
        <v>164</v>
      </c>
      <c r="G186">
        <v>120</v>
      </c>
      <c r="H186">
        <v>95</v>
      </c>
      <c r="I186">
        <v>78</v>
      </c>
      <c r="J186">
        <v>66</v>
      </c>
      <c r="K186">
        <v>46</v>
      </c>
      <c r="L186">
        <v>35</v>
      </c>
      <c r="M186">
        <v>24</v>
      </c>
    </row>
    <row r="187" spans="1:13" x14ac:dyDescent="0.2">
      <c r="B187">
        <v>0.05</v>
      </c>
      <c r="C187">
        <v>424</v>
      </c>
      <c r="D187">
        <v>301</v>
      </c>
      <c r="E187">
        <v>234</v>
      </c>
      <c r="F187">
        <v>191</v>
      </c>
      <c r="G187">
        <v>140</v>
      </c>
      <c r="H187">
        <v>112</v>
      </c>
      <c r="I187">
        <v>92</v>
      </c>
      <c r="J187">
        <v>78</v>
      </c>
      <c r="K187">
        <v>54</v>
      </c>
      <c r="L187">
        <v>42</v>
      </c>
      <c r="M187">
        <v>28</v>
      </c>
    </row>
    <row r="188" spans="1:13" x14ac:dyDescent="0.2">
      <c r="B188">
        <v>3.3000000000000002E-2</v>
      </c>
      <c r="C188">
        <v>451</v>
      </c>
      <c r="D188">
        <v>312</v>
      </c>
      <c r="E188">
        <v>247</v>
      </c>
      <c r="F188">
        <v>207</v>
      </c>
      <c r="G188">
        <v>158</v>
      </c>
      <c r="H188">
        <v>131</v>
      </c>
      <c r="I188">
        <v>112</v>
      </c>
      <c r="J188">
        <v>97</v>
      </c>
      <c r="K188">
        <v>71</v>
      </c>
      <c r="L188">
        <v>56</v>
      </c>
      <c r="M188">
        <v>40</v>
      </c>
    </row>
    <row r="189" spans="1:13" x14ac:dyDescent="0.2">
      <c r="B189">
        <v>0.02</v>
      </c>
      <c r="C189">
        <v>470</v>
      </c>
      <c r="D189">
        <v>334</v>
      </c>
      <c r="E189">
        <v>264</v>
      </c>
      <c r="F189">
        <v>220</v>
      </c>
      <c r="G189">
        <v>169</v>
      </c>
      <c r="H189">
        <v>138</v>
      </c>
      <c r="I189">
        <v>118</v>
      </c>
      <c r="J189">
        <v>102</v>
      </c>
      <c r="K189">
        <v>75</v>
      </c>
      <c r="L189">
        <v>60</v>
      </c>
      <c r="M189">
        <v>43</v>
      </c>
    </row>
    <row r="190" spans="1:13" x14ac:dyDescent="0.2">
      <c r="B190">
        <v>0.01</v>
      </c>
      <c r="C190">
        <v>492</v>
      </c>
      <c r="D190">
        <v>350</v>
      </c>
      <c r="E190">
        <v>278</v>
      </c>
      <c r="F190">
        <v>232</v>
      </c>
      <c r="G190">
        <v>179</v>
      </c>
      <c r="H190">
        <v>147</v>
      </c>
      <c r="I190">
        <v>125</v>
      </c>
      <c r="J190">
        <v>109</v>
      </c>
      <c r="K190">
        <v>80</v>
      </c>
      <c r="L190">
        <v>64</v>
      </c>
      <c r="M190">
        <v>46</v>
      </c>
    </row>
    <row r="191" spans="1:13" x14ac:dyDescent="0.2">
      <c r="A191">
        <v>20</v>
      </c>
      <c r="B191" t="s">
        <v>135</v>
      </c>
      <c r="E191" t="s">
        <v>117</v>
      </c>
    </row>
    <row r="192" spans="1:13" x14ac:dyDescent="0.2">
      <c r="B192" t="s">
        <v>52</v>
      </c>
      <c r="C192">
        <v>5</v>
      </c>
      <c r="D192">
        <v>10</v>
      </c>
      <c r="E192">
        <v>15</v>
      </c>
      <c r="F192">
        <v>20</v>
      </c>
      <c r="G192">
        <v>30</v>
      </c>
      <c r="H192">
        <v>40</v>
      </c>
      <c r="I192">
        <v>50</v>
      </c>
      <c r="J192">
        <v>60</v>
      </c>
      <c r="K192">
        <v>90</v>
      </c>
      <c r="L192">
        <v>120</v>
      </c>
      <c r="M192">
        <v>180</v>
      </c>
    </row>
    <row r="193" spans="1:13" x14ac:dyDescent="0.2">
      <c r="B193">
        <v>1</v>
      </c>
      <c r="C193">
        <v>275</v>
      </c>
      <c r="D193">
        <v>188</v>
      </c>
      <c r="E193">
        <v>145</v>
      </c>
      <c r="F193">
        <v>120</v>
      </c>
      <c r="G193">
        <v>89</v>
      </c>
      <c r="H193">
        <v>72</v>
      </c>
      <c r="I193">
        <v>60</v>
      </c>
      <c r="J193">
        <v>52</v>
      </c>
      <c r="K193">
        <v>38</v>
      </c>
      <c r="L193">
        <v>30</v>
      </c>
      <c r="M193">
        <v>20</v>
      </c>
    </row>
    <row r="194" spans="1:13" x14ac:dyDescent="0.2">
      <c r="B194">
        <v>0.5</v>
      </c>
      <c r="C194">
        <v>324</v>
      </c>
      <c r="D194">
        <v>226</v>
      </c>
      <c r="E194">
        <v>178</v>
      </c>
      <c r="F194">
        <v>148</v>
      </c>
      <c r="G194">
        <v>112</v>
      </c>
      <c r="H194">
        <v>91</v>
      </c>
      <c r="I194">
        <v>77</v>
      </c>
      <c r="J194">
        <v>67</v>
      </c>
      <c r="K194">
        <v>49</v>
      </c>
      <c r="L194">
        <v>39</v>
      </c>
      <c r="M194">
        <v>27</v>
      </c>
    </row>
    <row r="195" spans="1:13" x14ac:dyDescent="0.2">
      <c r="B195">
        <v>0.2</v>
      </c>
      <c r="C195">
        <v>384</v>
      </c>
      <c r="D195">
        <v>280</v>
      </c>
      <c r="E195">
        <v>222</v>
      </c>
      <c r="F195">
        <v>185</v>
      </c>
      <c r="G195">
        <v>143</v>
      </c>
      <c r="H195">
        <v>118</v>
      </c>
      <c r="I195">
        <v>100</v>
      </c>
      <c r="J195">
        <v>88</v>
      </c>
      <c r="K195">
        <v>65</v>
      </c>
      <c r="L195">
        <v>52</v>
      </c>
      <c r="M195">
        <v>35</v>
      </c>
    </row>
    <row r="196" spans="1:13" x14ac:dyDescent="0.2">
      <c r="B196">
        <v>0.1</v>
      </c>
      <c r="C196">
        <v>420</v>
      </c>
      <c r="D196">
        <v>311</v>
      </c>
      <c r="E196">
        <v>248</v>
      </c>
      <c r="F196">
        <v>211</v>
      </c>
      <c r="G196">
        <v>165</v>
      </c>
      <c r="H196">
        <v>138</v>
      </c>
      <c r="I196">
        <v>118</v>
      </c>
      <c r="J196">
        <v>104</v>
      </c>
      <c r="K196">
        <v>78</v>
      </c>
      <c r="L196">
        <v>62</v>
      </c>
      <c r="M196">
        <v>42</v>
      </c>
    </row>
    <row r="197" spans="1:13" x14ac:dyDescent="0.2">
      <c r="B197">
        <v>0.05</v>
      </c>
      <c r="C197">
        <v>460</v>
      </c>
      <c r="D197">
        <v>343</v>
      </c>
      <c r="E197">
        <v>276</v>
      </c>
      <c r="F197">
        <v>234</v>
      </c>
      <c r="G197">
        <v>184</v>
      </c>
      <c r="H197">
        <v>154</v>
      </c>
      <c r="I197">
        <v>133</v>
      </c>
      <c r="J197">
        <v>117</v>
      </c>
      <c r="K197">
        <v>88</v>
      </c>
      <c r="L197">
        <v>71</v>
      </c>
      <c r="M197">
        <v>49</v>
      </c>
    </row>
    <row r="198" spans="1:13" x14ac:dyDescent="0.2">
      <c r="B198">
        <v>3.3000000000000002E-2</v>
      </c>
      <c r="C198">
        <v>490</v>
      </c>
      <c r="D198">
        <v>365</v>
      </c>
      <c r="E198">
        <v>294</v>
      </c>
      <c r="F198">
        <v>250</v>
      </c>
      <c r="G198">
        <v>196</v>
      </c>
      <c r="H198">
        <v>164</v>
      </c>
      <c r="I198">
        <v>141</v>
      </c>
      <c r="J198">
        <v>125</v>
      </c>
      <c r="K198">
        <v>94</v>
      </c>
      <c r="L198">
        <v>76</v>
      </c>
      <c r="M198">
        <v>54</v>
      </c>
    </row>
    <row r="199" spans="1:13" x14ac:dyDescent="0.2">
      <c r="B199">
        <v>0.02</v>
      </c>
      <c r="C199">
        <v>509.6</v>
      </c>
      <c r="D199">
        <v>383.25</v>
      </c>
      <c r="E199">
        <v>311.64</v>
      </c>
      <c r="F199">
        <v>265</v>
      </c>
      <c r="G199">
        <v>207.76</v>
      </c>
      <c r="H199">
        <v>173.84</v>
      </c>
      <c r="I199">
        <v>149.46</v>
      </c>
      <c r="J199">
        <v>132.5</v>
      </c>
      <c r="K199">
        <v>99.64</v>
      </c>
      <c r="L199">
        <v>81.319999999999993</v>
      </c>
      <c r="M199">
        <v>57.78</v>
      </c>
    </row>
    <row r="200" spans="1:13" x14ac:dyDescent="0.2">
      <c r="B200">
        <v>0.01</v>
      </c>
      <c r="C200">
        <v>534.1</v>
      </c>
      <c r="D200">
        <v>401.5</v>
      </c>
      <c r="E200">
        <v>326.33999999999997</v>
      </c>
      <c r="F200">
        <v>277.5</v>
      </c>
      <c r="G200">
        <v>217.56</v>
      </c>
      <c r="H200">
        <v>183.68</v>
      </c>
      <c r="I200">
        <v>157.91999999999999</v>
      </c>
      <c r="J200">
        <v>141</v>
      </c>
      <c r="K200">
        <v>106.22</v>
      </c>
      <c r="L200">
        <v>85.88</v>
      </c>
      <c r="M200">
        <v>61.56</v>
      </c>
    </row>
    <row r="201" spans="1:13" x14ac:dyDescent="0.2">
      <c r="A201">
        <v>21</v>
      </c>
      <c r="B201" t="s">
        <v>136</v>
      </c>
      <c r="E201" t="s">
        <v>117</v>
      </c>
    </row>
    <row r="202" spans="1:13" x14ac:dyDescent="0.2">
      <c r="B202" t="s">
        <v>52</v>
      </c>
      <c r="C202">
        <v>5</v>
      </c>
      <c r="D202">
        <v>10</v>
      </c>
      <c r="E202">
        <v>15</v>
      </c>
      <c r="F202">
        <v>20</v>
      </c>
      <c r="G202">
        <v>30</v>
      </c>
      <c r="H202">
        <v>40</v>
      </c>
      <c r="I202">
        <v>50</v>
      </c>
      <c r="J202">
        <v>60</v>
      </c>
      <c r="K202">
        <v>90</v>
      </c>
      <c r="L202">
        <v>120</v>
      </c>
      <c r="M202">
        <v>180</v>
      </c>
    </row>
    <row r="203" spans="1:13" x14ac:dyDescent="0.2">
      <c r="B203">
        <v>1</v>
      </c>
      <c r="C203">
        <v>272</v>
      </c>
      <c r="D203">
        <v>183</v>
      </c>
      <c r="E203">
        <v>138</v>
      </c>
      <c r="F203">
        <v>113</v>
      </c>
      <c r="G203">
        <v>83</v>
      </c>
      <c r="H203">
        <v>66</v>
      </c>
      <c r="I203">
        <v>55</v>
      </c>
      <c r="J203">
        <v>47</v>
      </c>
      <c r="K203">
        <v>33</v>
      </c>
      <c r="L203">
        <v>25</v>
      </c>
      <c r="M203">
        <v>17</v>
      </c>
    </row>
    <row r="204" spans="1:13" x14ac:dyDescent="0.2">
      <c r="B204">
        <v>0.5</v>
      </c>
      <c r="C204">
        <v>312</v>
      </c>
      <c r="D204">
        <v>214</v>
      </c>
      <c r="E204">
        <v>165</v>
      </c>
      <c r="F204">
        <v>135</v>
      </c>
      <c r="G204">
        <v>99</v>
      </c>
      <c r="H204">
        <v>80</v>
      </c>
      <c r="I204">
        <v>66</v>
      </c>
      <c r="J204">
        <v>57</v>
      </c>
      <c r="K204">
        <v>40</v>
      </c>
      <c r="L204">
        <v>30</v>
      </c>
      <c r="M204">
        <v>20</v>
      </c>
    </row>
    <row r="205" spans="1:13" x14ac:dyDescent="0.2">
      <c r="B205">
        <v>0.2</v>
      </c>
      <c r="C205">
        <v>367</v>
      </c>
      <c r="D205">
        <v>258</v>
      </c>
      <c r="E205">
        <v>200</v>
      </c>
      <c r="F205">
        <v>164</v>
      </c>
      <c r="G205">
        <v>122</v>
      </c>
      <c r="H205">
        <v>96</v>
      </c>
      <c r="I205">
        <v>80</v>
      </c>
      <c r="J205">
        <v>70</v>
      </c>
      <c r="K205">
        <v>48</v>
      </c>
      <c r="L205">
        <v>37</v>
      </c>
      <c r="M205">
        <v>25</v>
      </c>
    </row>
    <row r="206" spans="1:13" x14ac:dyDescent="0.2">
      <c r="B206">
        <v>0.1</v>
      </c>
      <c r="C206">
        <v>405</v>
      </c>
      <c r="D206">
        <v>290</v>
      </c>
      <c r="E206">
        <v>227</v>
      </c>
      <c r="F206">
        <v>188</v>
      </c>
      <c r="G206">
        <v>140</v>
      </c>
      <c r="H206">
        <v>111</v>
      </c>
      <c r="I206">
        <v>92</v>
      </c>
      <c r="J206">
        <v>80</v>
      </c>
      <c r="K206">
        <v>55</v>
      </c>
      <c r="L206">
        <v>43</v>
      </c>
      <c r="M206">
        <v>29</v>
      </c>
    </row>
    <row r="207" spans="1:13" x14ac:dyDescent="0.2">
      <c r="B207">
        <v>0.05</v>
      </c>
      <c r="C207">
        <v>435</v>
      </c>
      <c r="D207">
        <v>313</v>
      </c>
      <c r="E207">
        <v>247</v>
      </c>
      <c r="F207">
        <v>204</v>
      </c>
      <c r="G207">
        <v>153</v>
      </c>
      <c r="H207">
        <v>122</v>
      </c>
      <c r="I207">
        <v>102</v>
      </c>
      <c r="J207">
        <v>88</v>
      </c>
      <c r="K207">
        <v>62</v>
      </c>
      <c r="L207">
        <v>47</v>
      </c>
      <c r="M207">
        <v>32</v>
      </c>
    </row>
    <row r="208" spans="1:13" x14ac:dyDescent="0.2">
      <c r="B208">
        <v>3.3000000000000002E-2</v>
      </c>
      <c r="C208">
        <v>464</v>
      </c>
      <c r="D208">
        <v>336</v>
      </c>
      <c r="E208">
        <v>266</v>
      </c>
      <c r="F208">
        <v>219</v>
      </c>
      <c r="G208">
        <v>164</v>
      </c>
      <c r="H208">
        <v>132</v>
      </c>
      <c r="I208">
        <v>108</v>
      </c>
      <c r="J208">
        <v>93</v>
      </c>
      <c r="K208">
        <v>66</v>
      </c>
      <c r="L208">
        <v>50</v>
      </c>
      <c r="M208">
        <v>34</v>
      </c>
    </row>
    <row r="209" spans="1:13" x14ac:dyDescent="0.2">
      <c r="B209">
        <v>0.02</v>
      </c>
      <c r="C209">
        <v>482.56</v>
      </c>
      <c r="D209">
        <v>352.8</v>
      </c>
      <c r="E209">
        <v>281.95999999999998</v>
      </c>
      <c r="F209">
        <v>232.14</v>
      </c>
      <c r="G209">
        <v>173.84</v>
      </c>
      <c r="H209">
        <v>139.91999999999999</v>
      </c>
      <c r="I209">
        <v>114.48</v>
      </c>
      <c r="J209">
        <v>98.58</v>
      </c>
      <c r="K209">
        <v>69.959999999999994</v>
      </c>
      <c r="L209">
        <v>53.5</v>
      </c>
      <c r="M209">
        <v>36.380000000000003</v>
      </c>
    </row>
    <row r="210" spans="1:13" x14ac:dyDescent="0.2">
      <c r="B210">
        <v>0.01</v>
      </c>
      <c r="C210">
        <v>505.76</v>
      </c>
      <c r="D210">
        <v>369.6</v>
      </c>
      <c r="E210">
        <v>295.26</v>
      </c>
      <c r="F210">
        <v>243.09</v>
      </c>
      <c r="G210">
        <v>182.04</v>
      </c>
      <c r="H210">
        <v>147</v>
      </c>
      <c r="I210">
        <v>122</v>
      </c>
      <c r="J210">
        <v>105</v>
      </c>
      <c r="K210">
        <v>74</v>
      </c>
      <c r="L210">
        <v>56.5</v>
      </c>
      <c r="M210">
        <v>38.76</v>
      </c>
    </row>
    <row r="211" spans="1:13" x14ac:dyDescent="0.2">
      <c r="A211">
        <v>22</v>
      </c>
      <c r="B211" t="s">
        <v>137</v>
      </c>
      <c r="E211" t="s">
        <v>117</v>
      </c>
    </row>
    <row r="212" spans="1:13" x14ac:dyDescent="0.2">
      <c r="B212" t="s">
        <v>52</v>
      </c>
      <c r="C212">
        <v>5</v>
      </c>
      <c r="D212">
        <v>10</v>
      </c>
      <c r="E212">
        <v>15</v>
      </c>
      <c r="F212">
        <v>20</v>
      </c>
      <c r="G212">
        <v>30</v>
      </c>
      <c r="H212">
        <v>40</v>
      </c>
      <c r="I212">
        <v>50</v>
      </c>
      <c r="J212">
        <v>60</v>
      </c>
      <c r="K212">
        <v>90</v>
      </c>
      <c r="L212">
        <v>120</v>
      </c>
      <c r="M212">
        <v>180</v>
      </c>
    </row>
    <row r="213" spans="1:13" x14ac:dyDescent="0.2">
      <c r="B213">
        <v>1</v>
      </c>
      <c r="C213">
        <v>255</v>
      </c>
      <c r="D213">
        <v>168</v>
      </c>
      <c r="E213">
        <v>130</v>
      </c>
      <c r="F213">
        <v>107</v>
      </c>
      <c r="G213">
        <v>80</v>
      </c>
      <c r="H213">
        <v>64</v>
      </c>
      <c r="I213">
        <v>53</v>
      </c>
      <c r="J213">
        <v>46</v>
      </c>
      <c r="K213">
        <v>33</v>
      </c>
      <c r="L213">
        <v>25</v>
      </c>
      <c r="M213">
        <v>17</v>
      </c>
    </row>
    <row r="214" spans="1:13" x14ac:dyDescent="0.2">
      <c r="B214">
        <v>0.5</v>
      </c>
      <c r="C214">
        <v>312</v>
      </c>
      <c r="D214">
        <v>212</v>
      </c>
      <c r="E214">
        <v>163</v>
      </c>
      <c r="F214">
        <v>135</v>
      </c>
      <c r="G214">
        <v>100</v>
      </c>
      <c r="H214">
        <v>81</v>
      </c>
      <c r="I214">
        <v>68</v>
      </c>
      <c r="J214">
        <v>59</v>
      </c>
      <c r="K214">
        <v>42</v>
      </c>
      <c r="L214">
        <v>33</v>
      </c>
      <c r="M214">
        <v>22</v>
      </c>
    </row>
    <row r="215" spans="1:13" x14ac:dyDescent="0.2">
      <c r="B215">
        <v>0.2</v>
      </c>
      <c r="C215">
        <v>390</v>
      </c>
      <c r="D215">
        <v>270</v>
      </c>
      <c r="E215">
        <v>207</v>
      </c>
      <c r="F215">
        <v>170</v>
      </c>
      <c r="G215">
        <v>128</v>
      </c>
      <c r="H215">
        <v>103</v>
      </c>
      <c r="I215">
        <v>86</v>
      </c>
      <c r="J215">
        <v>75</v>
      </c>
      <c r="K215">
        <v>54</v>
      </c>
      <c r="L215">
        <v>42</v>
      </c>
      <c r="M215">
        <v>29</v>
      </c>
    </row>
    <row r="216" spans="1:13" x14ac:dyDescent="0.2">
      <c r="B216">
        <v>0.1</v>
      </c>
      <c r="C216">
        <v>445</v>
      </c>
      <c r="D216">
        <v>310</v>
      </c>
      <c r="E216">
        <v>240</v>
      </c>
      <c r="F216">
        <v>199</v>
      </c>
      <c r="G216">
        <v>150</v>
      </c>
      <c r="H216">
        <v>122</v>
      </c>
      <c r="I216">
        <v>102</v>
      </c>
      <c r="J216">
        <v>88</v>
      </c>
      <c r="K216">
        <v>63</v>
      </c>
      <c r="L216">
        <v>50</v>
      </c>
      <c r="M216">
        <v>34</v>
      </c>
    </row>
    <row r="217" spans="1:13" x14ac:dyDescent="0.2">
      <c r="B217">
        <v>0.05</v>
      </c>
      <c r="C217">
        <v>490</v>
      </c>
      <c r="D217">
        <v>347</v>
      </c>
      <c r="E217">
        <v>270</v>
      </c>
      <c r="F217">
        <v>223</v>
      </c>
      <c r="G217">
        <v>168</v>
      </c>
      <c r="H217">
        <v>138</v>
      </c>
      <c r="I217">
        <v>117</v>
      </c>
      <c r="J217">
        <v>100</v>
      </c>
      <c r="K217">
        <v>73</v>
      </c>
      <c r="L217">
        <v>58</v>
      </c>
      <c r="M217">
        <v>40</v>
      </c>
    </row>
    <row r="218" spans="1:13" x14ac:dyDescent="0.2">
      <c r="B218">
        <v>3.3000000000000002E-2</v>
      </c>
      <c r="C218">
        <v>520</v>
      </c>
      <c r="D218">
        <v>375</v>
      </c>
      <c r="E218">
        <v>293</v>
      </c>
      <c r="F218">
        <v>242</v>
      </c>
      <c r="G218">
        <v>185</v>
      </c>
      <c r="H218">
        <v>150</v>
      </c>
      <c r="I218">
        <v>126</v>
      </c>
      <c r="J218">
        <v>110</v>
      </c>
      <c r="K218">
        <v>80</v>
      </c>
      <c r="L218">
        <v>63</v>
      </c>
      <c r="M218">
        <v>44</v>
      </c>
    </row>
    <row r="219" spans="1:13" x14ac:dyDescent="0.2">
      <c r="B219">
        <v>0.02</v>
      </c>
      <c r="C219">
        <v>540.79999999999995</v>
      </c>
      <c r="D219">
        <v>393.75</v>
      </c>
      <c r="E219">
        <v>310.58</v>
      </c>
      <c r="F219">
        <v>256.52</v>
      </c>
      <c r="G219">
        <v>196.1</v>
      </c>
      <c r="H219">
        <v>159</v>
      </c>
      <c r="I219">
        <v>133.56</v>
      </c>
      <c r="J219">
        <v>116.6</v>
      </c>
      <c r="K219">
        <v>84.8</v>
      </c>
      <c r="L219">
        <v>67.41</v>
      </c>
      <c r="M219">
        <v>47.08</v>
      </c>
    </row>
    <row r="220" spans="1:13" x14ac:dyDescent="0.2">
      <c r="B220">
        <v>0.01</v>
      </c>
      <c r="C220">
        <v>566.79999999999995</v>
      </c>
      <c r="D220">
        <v>412.5</v>
      </c>
      <c r="E220">
        <v>325.23</v>
      </c>
      <c r="F220">
        <v>268.62</v>
      </c>
      <c r="G220">
        <v>205.35</v>
      </c>
      <c r="H220">
        <v>168</v>
      </c>
      <c r="I220">
        <v>141.12</v>
      </c>
      <c r="J220">
        <v>123.2</v>
      </c>
      <c r="K220">
        <v>90.4</v>
      </c>
      <c r="L220">
        <v>71.19</v>
      </c>
      <c r="M220">
        <v>50.16</v>
      </c>
    </row>
    <row r="221" spans="1:13" x14ac:dyDescent="0.2">
      <c r="A221">
        <v>23</v>
      </c>
      <c r="B221" t="s">
        <v>138</v>
      </c>
      <c r="E221" t="s">
        <v>117</v>
      </c>
    </row>
    <row r="222" spans="1:13" x14ac:dyDescent="0.2">
      <c r="B222" t="s">
        <v>52</v>
      </c>
      <c r="C222">
        <v>5</v>
      </c>
      <c r="D222">
        <v>10</v>
      </c>
      <c r="E222">
        <v>15</v>
      </c>
      <c r="F222">
        <v>20</v>
      </c>
      <c r="G222">
        <v>30</v>
      </c>
      <c r="H222">
        <v>40</v>
      </c>
      <c r="I222">
        <v>50</v>
      </c>
      <c r="J222">
        <v>60</v>
      </c>
      <c r="K222">
        <v>90</v>
      </c>
      <c r="L222">
        <v>120</v>
      </c>
      <c r="M222">
        <v>180</v>
      </c>
    </row>
    <row r="223" spans="1:13" x14ac:dyDescent="0.2">
      <c r="B223">
        <v>1</v>
      </c>
      <c r="C223">
        <v>234</v>
      </c>
      <c r="D223">
        <v>158</v>
      </c>
      <c r="E223">
        <v>122</v>
      </c>
      <c r="F223">
        <v>100</v>
      </c>
      <c r="G223">
        <v>76</v>
      </c>
      <c r="H223">
        <v>62</v>
      </c>
      <c r="I223">
        <v>51</v>
      </c>
      <c r="J223">
        <v>44</v>
      </c>
      <c r="K223">
        <v>32</v>
      </c>
      <c r="L223">
        <v>25</v>
      </c>
      <c r="M223">
        <v>18</v>
      </c>
    </row>
    <row r="224" spans="1:13" x14ac:dyDescent="0.2">
      <c r="B224">
        <v>0.5</v>
      </c>
      <c r="C224">
        <v>280</v>
      </c>
      <c r="D224">
        <v>188</v>
      </c>
      <c r="E224">
        <v>146</v>
      </c>
      <c r="F224">
        <v>121</v>
      </c>
      <c r="G224">
        <v>91</v>
      </c>
      <c r="H224">
        <v>74</v>
      </c>
      <c r="I224">
        <v>62</v>
      </c>
      <c r="J224">
        <v>54</v>
      </c>
      <c r="K224">
        <v>40</v>
      </c>
      <c r="L224">
        <v>31</v>
      </c>
      <c r="M224">
        <v>21</v>
      </c>
    </row>
    <row r="225" spans="1:13" x14ac:dyDescent="0.2">
      <c r="B225">
        <v>0.2</v>
      </c>
      <c r="C225">
        <v>340</v>
      </c>
      <c r="D225">
        <v>232</v>
      </c>
      <c r="E225">
        <v>179</v>
      </c>
      <c r="F225">
        <v>149</v>
      </c>
      <c r="G225">
        <v>112</v>
      </c>
      <c r="H225">
        <v>90</v>
      </c>
      <c r="I225">
        <v>76</v>
      </c>
      <c r="J225">
        <v>67</v>
      </c>
      <c r="K225">
        <v>47</v>
      </c>
      <c r="L225">
        <v>37</v>
      </c>
      <c r="M225">
        <v>25</v>
      </c>
    </row>
    <row r="226" spans="1:13" x14ac:dyDescent="0.2">
      <c r="B226">
        <v>0.1</v>
      </c>
      <c r="C226">
        <v>385</v>
      </c>
      <c r="D226">
        <v>263</v>
      </c>
      <c r="E226">
        <v>203</v>
      </c>
      <c r="F226">
        <v>168</v>
      </c>
      <c r="G226">
        <v>127</v>
      </c>
      <c r="H226">
        <v>103</v>
      </c>
      <c r="I226">
        <v>86</v>
      </c>
      <c r="J226">
        <v>75</v>
      </c>
      <c r="K226">
        <v>54</v>
      </c>
      <c r="L226">
        <v>42</v>
      </c>
      <c r="M226">
        <v>29</v>
      </c>
    </row>
    <row r="227" spans="1:13" x14ac:dyDescent="0.2">
      <c r="B227">
        <v>0.05</v>
      </c>
      <c r="C227">
        <v>432</v>
      </c>
      <c r="D227">
        <v>292</v>
      </c>
      <c r="E227">
        <v>226</v>
      </c>
      <c r="F227">
        <v>187</v>
      </c>
      <c r="G227">
        <v>141</v>
      </c>
      <c r="H227">
        <v>114</v>
      </c>
      <c r="I227">
        <v>95</v>
      </c>
      <c r="J227">
        <v>84</v>
      </c>
      <c r="K227">
        <v>60</v>
      </c>
      <c r="L227">
        <v>47</v>
      </c>
      <c r="M227">
        <v>33</v>
      </c>
    </row>
    <row r="228" spans="1:13" x14ac:dyDescent="0.2">
      <c r="B228">
        <v>3.3000000000000002E-2</v>
      </c>
      <c r="C228">
        <v>460</v>
      </c>
      <c r="D228">
        <v>313</v>
      </c>
      <c r="E228">
        <v>240</v>
      </c>
      <c r="F228">
        <v>198</v>
      </c>
      <c r="G228">
        <v>148</v>
      </c>
      <c r="H228">
        <v>120</v>
      </c>
      <c r="I228">
        <v>100</v>
      </c>
      <c r="J228">
        <v>87</v>
      </c>
      <c r="K228">
        <v>63</v>
      </c>
      <c r="L228">
        <v>49</v>
      </c>
      <c r="M228">
        <v>34</v>
      </c>
    </row>
    <row r="229" spans="1:13" x14ac:dyDescent="0.2">
      <c r="B229">
        <v>0.02</v>
      </c>
      <c r="C229">
        <v>478.4</v>
      </c>
      <c r="D229">
        <v>328.65</v>
      </c>
      <c r="E229">
        <v>254.4</v>
      </c>
      <c r="F229">
        <v>209.88</v>
      </c>
      <c r="G229">
        <v>156.88</v>
      </c>
      <c r="H229">
        <v>127.2</v>
      </c>
      <c r="I229">
        <v>106</v>
      </c>
      <c r="J229">
        <v>92.22</v>
      </c>
      <c r="K229">
        <v>66.78</v>
      </c>
      <c r="L229">
        <v>52.43</v>
      </c>
      <c r="M229">
        <v>36.380000000000003</v>
      </c>
    </row>
    <row r="230" spans="1:13" x14ac:dyDescent="0.2">
      <c r="B230">
        <v>0.01</v>
      </c>
      <c r="C230">
        <v>501.4</v>
      </c>
      <c r="D230">
        <v>344.3</v>
      </c>
      <c r="E230">
        <v>266.39999999999998</v>
      </c>
      <c r="F230">
        <v>219.78</v>
      </c>
      <c r="G230">
        <v>164.28</v>
      </c>
      <c r="H230">
        <v>134.4</v>
      </c>
      <c r="I230">
        <v>115</v>
      </c>
      <c r="J230">
        <v>99</v>
      </c>
      <c r="K230">
        <v>71.19</v>
      </c>
      <c r="L230">
        <v>57</v>
      </c>
      <c r="M230">
        <v>38.76</v>
      </c>
    </row>
    <row r="231" spans="1:13" x14ac:dyDescent="0.2">
      <c r="A231">
        <v>24</v>
      </c>
      <c r="B231" t="s">
        <v>139</v>
      </c>
      <c r="E231" t="s">
        <v>117</v>
      </c>
    </row>
    <row r="232" spans="1:13" x14ac:dyDescent="0.2">
      <c r="B232" t="s">
        <v>52</v>
      </c>
      <c r="C232">
        <v>5</v>
      </c>
      <c r="D232">
        <v>10</v>
      </c>
      <c r="E232">
        <v>15</v>
      </c>
      <c r="F232">
        <v>20</v>
      </c>
      <c r="G232">
        <v>30</v>
      </c>
      <c r="H232">
        <v>40</v>
      </c>
      <c r="I232">
        <v>50</v>
      </c>
      <c r="J232">
        <v>60</v>
      </c>
      <c r="K232">
        <v>90</v>
      </c>
      <c r="L232">
        <v>120</v>
      </c>
      <c r="M232">
        <v>180</v>
      </c>
    </row>
    <row r="233" spans="1:13" x14ac:dyDescent="0.2">
      <c r="B233">
        <v>1</v>
      </c>
      <c r="C233">
        <v>250</v>
      </c>
      <c r="D233">
        <v>174</v>
      </c>
      <c r="E233">
        <v>134</v>
      </c>
      <c r="F233">
        <v>110</v>
      </c>
      <c r="G233">
        <v>80</v>
      </c>
      <c r="H233">
        <v>64</v>
      </c>
      <c r="I233">
        <v>52</v>
      </c>
      <c r="J233">
        <v>44</v>
      </c>
      <c r="K233">
        <v>30</v>
      </c>
      <c r="L233">
        <v>23</v>
      </c>
      <c r="M233">
        <v>16</v>
      </c>
    </row>
    <row r="234" spans="1:13" x14ac:dyDescent="0.2">
      <c r="B234">
        <v>0.5</v>
      </c>
      <c r="C234">
        <v>290</v>
      </c>
      <c r="D234">
        <v>210</v>
      </c>
      <c r="E234">
        <v>164</v>
      </c>
      <c r="F234">
        <v>135</v>
      </c>
      <c r="G234">
        <v>100</v>
      </c>
      <c r="H234">
        <v>79</v>
      </c>
      <c r="I234">
        <v>65</v>
      </c>
      <c r="J234">
        <v>56</v>
      </c>
      <c r="K234">
        <v>39</v>
      </c>
      <c r="L234">
        <v>29</v>
      </c>
      <c r="M234">
        <v>19</v>
      </c>
    </row>
    <row r="235" spans="1:13" x14ac:dyDescent="0.2">
      <c r="B235">
        <v>0.2</v>
      </c>
      <c r="C235">
        <v>350</v>
      </c>
      <c r="D235">
        <v>254</v>
      </c>
      <c r="E235">
        <v>202</v>
      </c>
      <c r="F235">
        <v>168</v>
      </c>
      <c r="G235">
        <v>125</v>
      </c>
      <c r="H235">
        <v>100</v>
      </c>
      <c r="I235">
        <v>82</v>
      </c>
      <c r="J235">
        <v>70</v>
      </c>
      <c r="K235">
        <v>48</v>
      </c>
      <c r="L235">
        <v>38</v>
      </c>
      <c r="M235">
        <v>25</v>
      </c>
    </row>
    <row r="236" spans="1:13" x14ac:dyDescent="0.2">
      <c r="B236">
        <v>0.1</v>
      </c>
      <c r="C236">
        <v>394</v>
      </c>
      <c r="D236">
        <v>289</v>
      </c>
      <c r="E236">
        <v>230</v>
      </c>
      <c r="F236">
        <v>193</v>
      </c>
      <c r="G236">
        <v>147</v>
      </c>
      <c r="H236">
        <v>117</v>
      </c>
      <c r="I236">
        <v>96</v>
      </c>
      <c r="J236">
        <v>82</v>
      </c>
      <c r="K236">
        <v>57</v>
      </c>
      <c r="L236">
        <v>44</v>
      </c>
      <c r="M236">
        <v>30</v>
      </c>
    </row>
    <row r="237" spans="1:13" x14ac:dyDescent="0.2">
      <c r="B237">
        <v>0.05</v>
      </c>
      <c r="C237">
        <v>420</v>
      </c>
      <c r="D237">
        <v>323</v>
      </c>
      <c r="E237">
        <v>261</v>
      </c>
      <c r="F237">
        <v>221</v>
      </c>
      <c r="G237">
        <v>170</v>
      </c>
      <c r="H237">
        <v>137</v>
      </c>
      <c r="I237">
        <v>113</v>
      </c>
      <c r="J237">
        <v>96</v>
      </c>
      <c r="K237">
        <v>67</v>
      </c>
      <c r="L237">
        <v>51</v>
      </c>
      <c r="M237">
        <v>34</v>
      </c>
    </row>
    <row r="238" spans="1:13" x14ac:dyDescent="0.2">
      <c r="B238">
        <v>3.3000000000000002E-2</v>
      </c>
      <c r="C238">
        <v>455</v>
      </c>
      <c r="D238">
        <v>351</v>
      </c>
      <c r="E238">
        <v>273</v>
      </c>
      <c r="F238">
        <v>239</v>
      </c>
      <c r="G238">
        <v>181</v>
      </c>
      <c r="H238">
        <v>147</v>
      </c>
      <c r="I238">
        <v>122</v>
      </c>
      <c r="J238">
        <v>104</v>
      </c>
      <c r="K238">
        <v>72</v>
      </c>
      <c r="L238">
        <v>56</v>
      </c>
      <c r="M238">
        <v>38</v>
      </c>
    </row>
    <row r="239" spans="1:13" x14ac:dyDescent="0.2">
      <c r="B239">
        <v>0.02</v>
      </c>
      <c r="C239">
        <v>473.2</v>
      </c>
      <c r="D239">
        <v>368.55</v>
      </c>
      <c r="E239">
        <v>289.38</v>
      </c>
      <c r="F239">
        <v>253.34</v>
      </c>
      <c r="G239">
        <v>191.86</v>
      </c>
      <c r="H239">
        <v>155.82</v>
      </c>
      <c r="I239">
        <v>129.32</v>
      </c>
      <c r="J239">
        <v>110.24</v>
      </c>
      <c r="K239">
        <v>76.319999999999993</v>
      </c>
      <c r="L239">
        <v>59.92</v>
      </c>
      <c r="M239">
        <v>40.659999999999997</v>
      </c>
    </row>
    <row r="240" spans="1:13" x14ac:dyDescent="0.2">
      <c r="B240">
        <v>0.01</v>
      </c>
      <c r="C240">
        <v>495.95</v>
      </c>
      <c r="D240">
        <v>386.1</v>
      </c>
      <c r="E240">
        <v>315</v>
      </c>
      <c r="F240">
        <v>265.29000000000002</v>
      </c>
      <c r="G240">
        <v>200.91</v>
      </c>
      <c r="H240">
        <v>164</v>
      </c>
      <c r="I240">
        <v>136.63999999999999</v>
      </c>
      <c r="J240">
        <v>118</v>
      </c>
      <c r="K240">
        <v>82</v>
      </c>
      <c r="L240">
        <v>64</v>
      </c>
      <c r="M240">
        <v>43.32</v>
      </c>
    </row>
    <row r="241" spans="1:13" x14ac:dyDescent="0.2">
      <c r="A241">
        <v>25</v>
      </c>
      <c r="B241" t="s">
        <v>140</v>
      </c>
      <c r="E241" t="s">
        <v>117</v>
      </c>
    </row>
    <row r="242" spans="1:13" x14ac:dyDescent="0.2">
      <c r="B242" t="s">
        <v>52</v>
      </c>
      <c r="C242">
        <v>5</v>
      </c>
      <c r="D242">
        <v>10</v>
      </c>
      <c r="E242">
        <v>15</v>
      </c>
      <c r="F242">
        <v>20</v>
      </c>
      <c r="G242">
        <v>30</v>
      </c>
      <c r="H242">
        <v>40</v>
      </c>
      <c r="I242">
        <v>50</v>
      </c>
      <c r="J242">
        <v>60</v>
      </c>
      <c r="K242">
        <v>90</v>
      </c>
      <c r="L242">
        <v>120</v>
      </c>
      <c r="M242">
        <v>180</v>
      </c>
    </row>
    <row r="243" spans="1:13" x14ac:dyDescent="0.2">
      <c r="B243">
        <v>1</v>
      </c>
      <c r="C243">
        <v>222</v>
      </c>
      <c r="D243">
        <v>168</v>
      </c>
      <c r="E243">
        <v>138</v>
      </c>
      <c r="F243">
        <v>118</v>
      </c>
      <c r="G243">
        <v>93</v>
      </c>
      <c r="H243">
        <v>78</v>
      </c>
      <c r="I243">
        <v>67</v>
      </c>
      <c r="J243">
        <v>59</v>
      </c>
      <c r="K243">
        <v>44</v>
      </c>
      <c r="L243">
        <v>35</v>
      </c>
      <c r="M243">
        <v>24</v>
      </c>
    </row>
    <row r="244" spans="1:13" x14ac:dyDescent="0.2">
      <c r="B244">
        <v>0.5</v>
      </c>
      <c r="C244">
        <v>253</v>
      </c>
      <c r="D244">
        <v>198</v>
      </c>
      <c r="E244">
        <v>166</v>
      </c>
      <c r="F244">
        <v>144</v>
      </c>
      <c r="G244">
        <v>115</v>
      </c>
      <c r="H244">
        <v>96</v>
      </c>
      <c r="I244">
        <v>82</v>
      </c>
      <c r="J244">
        <v>73</v>
      </c>
      <c r="K244">
        <v>54</v>
      </c>
      <c r="L244">
        <v>44</v>
      </c>
      <c r="M244">
        <v>31</v>
      </c>
    </row>
    <row r="245" spans="1:13" x14ac:dyDescent="0.2">
      <c r="B245">
        <v>0.2</v>
      </c>
      <c r="C245">
        <v>300</v>
      </c>
      <c r="D245">
        <v>240</v>
      </c>
      <c r="E245">
        <v>202</v>
      </c>
      <c r="F245">
        <v>176</v>
      </c>
      <c r="G245">
        <v>143</v>
      </c>
      <c r="H245">
        <v>122</v>
      </c>
      <c r="I245">
        <v>106</v>
      </c>
      <c r="J245">
        <v>95</v>
      </c>
      <c r="K245">
        <v>71</v>
      </c>
      <c r="L245">
        <v>57</v>
      </c>
      <c r="M245">
        <v>41</v>
      </c>
    </row>
    <row r="246" spans="1:13" x14ac:dyDescent="0.2">
      <c r="B246">
        <v>0.1</v>
      </c>
      <c r="C246">
        <v>345</v>
      </c>
      <c r="D246">
        <v>270</v>
      </c>
      <c r="E246">
        <v>228</v>
      </c>
      <c r="F246">
        <v>200</v>
      </c>
      <c r="G246">
        <v>163</v>
      </c>
      <c r="H246">
        <v>140</v>
      </c>
      <c r="I246">
        <v>123</v>
      </c>
      <c r="J246">
        <v>110</v>
      </c>
      <c r="K246">
        <v>83</v>
      </c>
      <c r="L246">
        <v>68</v>
      </c>
      <c r="M246">
        <v>49</v>
      </c>
    </row>
    <row r="247" spans="1:13" x14ac:dyDescent="0.2">
      <c r="B247">
        <v>0.05</v>
      </c>
      <c r="C247">
        <v>385</v>
      </c>
      <c r="D247">
        <v>299</v>
      </c>
      <c r="E247">
        <v>250</v>
      </c>
      <c r="F247">
        <v>220</v>
      </c>
      <c r="G247">
        <v>180</v>
      </c>
      <c r="H247">
        <v>156</v>
      </c>
      <c r="I247">
        <v>138</v>
      </c>
      <c r="J247">
        <v>125</v>
      </c>
      <c r="K247">
        <v>94</v>
      </c>
      <c r="L247">
        <v>77</v>
      </c>
      <c r="M247">
        <v>55</v>
      </c>
    </row>
    <row r="248" spans="1:13" x14ac:dyDescent="0.2">
      <c r="B248">
        <v>3.3000000000000002E-2</v>
      </c>
      <c r="C248">
        <v>415.8</v>
      </c>
      <c r="D248">
        <v>319.93</v>
      </c>
      <c r="E248">
        <v>267.5</v>
      </c>
      <c r="F248">
        <v>235.4</v>
      </c>
      <c r="G248">
        <v>194.4</v>
      </c>
      <c r="H248">
        <v>170.04</v>
      </c>
      <c r="I248">
        <v>151.80000000000001</v>
      </c>
      <c r="J248">
        <v>137.5</v>
      </c>
      <c r="K248">
        <v>104.34</v>
      </c>
      <c r="L248">
        <v>82</v>
      </c>
      <c r="M248">
        <v>62.15</v>
      </c>
    </row>
    <row r="249" spans="1:13" x14ac:dyDescent="0.2">
      <c r="B249">
        <v>0.02</v>
      </c>
      <c r="C249">
        <v>427.35</v>
      </c>
      <c r="D249">
        <v>331.89</v>
      </c>
      <c r="E249">
        <v>277.5</v>
      </c>
      <c r="F249">
        <v>244.2</v>
      </c>
      <c r="G249">
        <v>203.4</v>
      </c>
      <c r="H249">
        <v>176.28</v>
      </c>
      <c r="I249">
        <v>157.32</v>
      </c>
      <c r="J249">
        <v>142.5</v>
      </c>
      <c r="K249">
        <v>109.04</v>
      </c>
      <c r="L249">
        <v>89.32</v>
      </c>
      <c r="M249">
        <v>64.349999999999994</v>
      </c>
    </row>
    <row r="250" spans="1:13" x14ac:dyDescent="0.2">
      <c r="B250">
        <v>0.01</v>
      </c>
      <c r="C250">
        <v>450.45</v>
      </c>
      <c r="D250">
        <v>352.82</v>
      </c>
      <c r="E250">
        <v>300</v>
      </c>
      <c r="F250">
        <v>261.8</v>
      </c>
      <c r="G250">
        <v>217.8</v>
      </c>
      <c r="H250">
        <v>190.32</v>
      </c>
      <c r="I250">
        <v>164.22</v>
      </c>
      <c r="J250">
        <v>148.75</v>
      </c>
      <c r="K250">
        <v>111.86</v>
      </c>
      <c r="L250">
        <v>91.63</v>
      </c>
      <c r="M250">
        <v>65.45</v>
      </c>
    </row>
    <row r="251" spans="1:13" x14ac:dyDescent="0.2">
      <c r="A251">
        <v>26</v>
      </c>
      <c r="B251" t="s">
        <v>141</v>
      </c>
      <c r="E251" t="s">
        <v>117</v>
      </c>
    </row>
    <row r="252" spans="1:13" x14ac:dyDescent="0.2">
      <c r="B252" t="s">
        <v>52</v>
      </c>
      <c r="C252">
        <v>5</v>
      </c>
      <c r="D252">
        <v>10</v>
      </c>
      <c r="E252">
        <v>15</v>
      </c>
      <c r="F252">
        <v>20</v>
      </c>
      <c r="G252">
        <v>30</v>
      </c>
      <c r="H252">
        <v>40</v>
      </c>
      <c r="I252">
        <v>50</v>
      </c>
      <c r="J252">
        <v>60</v>
      </c>
      <c r="K252">
        <v>90</v>
      </c>
      <c r="L252">
        <v>120</v>
      </c>
      <c r="M252">
        <v>180</v>
      </c>
    </row>
    <row r="253" spans="1:13" x14ac:dyDescent="0.2">
      <c r="B253">
        <v>1</v>
      </c>
      <c r="C253">
        <v>226</v>
      </c>
      <c r="D253">
        <v>147</v>
      </c>
      <c r="E253">
        <v>112</v>
      </c>
      <c r="F253">
        <v>91</v>
      </c>
      <c r="G253">
        <v>68</v>
      </c>
      <c r="H253">
        <v>54</v>
      </c>
      <c r="I253">
        <v>45</v>
      </c>
      <c r="J253">
        <v>39</v>
      </c>
      <c r="K253">
        <v>27</v>
      </c>
      <c r="L253">
        <v>21</v>
      </c>
      <c r="M253">
        <v>14</v>
      </c>
    </row>
    <row r="254" spans="1:13" x14ac:dyDescent="0.2">
      <c r="B254">
        <v>0.5</v>
      </c>
      <c r="C254">
        <v>270</v>
      </c>
      <c r="D254">
        <v>179</v>
      </c>
      <c r="E254">
        <v>138</v>
      </c>
      <c r="F254">
        <v>114</v>
      </c>
      <c r="G254">
        <v>85</v>
      </c>
      <c r="H254">
        <v>68</v>
      </c>
      <c r="I254">
        <v>58</v>
      </c>
      <c r="J254">
        <v>50</v>
      </c>
      <c r="K254">
        <v>36</v>
      </c>
      <c r="L254">
        <v>28</v>
      </c>
      <c r="M254">
        <v>20</v>
      </c>
    </row>
    <row r="255" spans="1:13" x14ac:dyDescent="0.2">
      <c r="B255">
        <v>0.2</v>
      </c>
      <c r="C255">
        <v>338</v>
      </c>
      <c r="D255">
        <v>227</v>
      </c>
      <c r="E255">
        <v>175</v>
      </c>
      <c r="F255">
        <v>144</v>
      </c>
      <c r="G255">
        <v>108</v>
      </c>
      <c r="H255">
        <v>86</v>
      </c>
      <c r="I255">
        <v>72</v>
      </c>
      <c r="J255">
        <v>62</v>
      </c>
      <c r="K255">
        <v>45</v>
      </c>
      <c r="L255">
        <v>36</v>
      </c>
      <c r="M255">
        <v>25</v>
      </c>
    </row>
    <row r="256" spans="1:13" x14ac:dyDescent="0.2">
      <c r="B256">
        <v>0.1</v>
      </c>
      <c r="C256">
        <v>378</v>
      </c>
      <c r="D256">
        <v>253</v>
      </c>
      <c r="E256">
        <v>197</v>
      </c>
      <c r="F256">
        <v>162</v>
      </c>
      <c r="G256">
        <v>122</v>
      </c>
      <c r="H256">
        <v>98</v>
      </c>
      <c r="I256">
        <v>83</v>
      </c>
      <c r="J256">
        <v>73</v>
      </c>
      <c r="K256">
        <v>53</v>
      </c>
      <c r="L256">
        <v>42</v>
      </c>
      <c r="M256">
        <v>30</v>
      </c>
    </row>
    <row r="257" spans="1:13" x14ac:dyDescent="0.2">
      <c r="B257">
        <v>0.05</v>
      </c>
      <c r="C257">
        <v>420</v>
      </c>
      <c r="D257">
        <v>285</v>
      </c>
      <c r="E257">
        <v>223</v>
      </c>
      <c r="F257">
        <v>187</v>
      </c>
      <c r="G257">
        <v>142</v>
      </c>
      <c r="H257">
        <v>115</v>
      </c>
      <c r="I257">
        <v>96</v>
      </c>
      <c r="J257">
        <v>84</v>
      </c>
      <c r="K257">
        <v>61</v>
      </c>
      <c r="L257">
        <v>49</v>
      </c>
      <c r="M257">
        <v>36</v>
      </c>
    </row>
    <row r="258" spans="1:13" x14ac:dyDescent="0.2">
      <c r="B258">
        <v>3.3000000000000002E-2</v>
      </c>
      <c r="C258">
        <v>451</v>
      </c>
      <c r="D258">
        <v>312</v>
      </c>
      <c r="E258">
        <v>247</v>
      </c>
      <c r="F258">
        <v>207</v>
      </c>
      <c r="G258">
        <v>158</v>
      </c>
      <c r="H258">
        <v>131</v>
      </c>
      <c r="I258">
        <v>112</v>
      </c>
      <c r="J258">
        <v>97</v>
      </c>
      <c r="K258">
        <v>71</v>
      </c>
      <c r="L258">
        <v>56</v>
      </c>
      <c r="M258">
        <v>40</v>
      </c>
    </row>
    <row r="259" spans="1:13" x14ac:dyDescent="0.2">
      <c r="B259">
        <v>0.02</v>
      </c>
      <c r="C259">
        <v>470</v>
      </c>
      <c r="D259">
        <v>334</v>
      </c>
      <c r="E259">
        <v>264</v>
      </c>
      <c r="F259">
        <v>220</v>
      </c>
      <c r="G259">
        <v>169</v>
      </c>
      <c r="H259">
        <v>138</v>
      </c>
      <c r="I259">
        <v>118</v>
      </c>
      <c r="J259">
        <v>102</v>
      </c>
      <c r="K259">
        <v>75</v>
      </c>
      <c r="L259">
        <v>60</v>
      </c>
      <c r="M259">
        <v>43</v>
      </c>
    </row>
    <row r="260" spans="1:13" x14ac:dyDescent="0.2">
      <c r="B260">
        <v>0.01</v>
      </c>
      <c r="C260">
        <v>492</v>
      </c>
      <c r="D260">
        <v>350</v>
      </c>
      <c r="E260">
        <v>278</v>
      </c>
      <c r="F260">
        <v>232</v>
      </c>
      <c r="G260">
        <v>179</v>
      </c>
      <c r="H260">
        <v>147</v>
      </c>
      <c r="I260">
        <v>125</v>
      </c>
      <c r="J260">
        <v>109</v>
      </c>
      <c r="K260">
        <v>80</v>
      </c>
      <c r="L260">
        <v>64</v>
      </c>
      <c r="M260">
        <v>46</v>
      </c>
    </row>
    <row r="261" spans="1:13" x14ac:dyDescent="0.2">
      <c r="A261">
        <v>27</v>
      </c>
      <c r="B261" t="s">
        <v>142</v>
      </c>
      <c r="E261" t="s">
        <v>117</v>
      </c>
    </row>
    <row r="262" spans="1:13" x14ac:dyDescent="0.2">
      <c r="B262" t="s">
        <v>52</v>
      </c>
      <c r="C262">
        <v>5</v>
      </c>
      <c r="D262">
        <v>10</v>
      </c>
      <c r="E262">
        <v>15</v>
      </c>
      <c r="F262">
        <v>20</v>
      </c>
      <c r="G262">
        <v>30</v>
      </c>
      <c r="H262">
        <v>40</v>
      </c>
      <c r="I262">
        <v>50</v>
      </c>
      <c r="J262">
        <v>60</v>
      </c>
      <c r="K262">
        <v>90</v>
      </c>
      <c r="L262">
        <v>120</v>
      </c>
      <c r="M262">
        <v>180</v>
      </c>
    </row>
    <row r="263" spans="1:13" x14ac:dyDescent="0.2">
      <c r="B263">
        <v>1</v>
      </c>
      <c r="C263">
        <v>252</v>
      </c>
      <c r="D263">
        <v>162</v>
      </c>
      <c r="E263">
        <v>124</v>
      </c>
      <c r="F263">
        <v>102</v>
      </c>
      <c r="G263">
        <v>77</v>
      </c>
      <c r="H263">
        <v>63</v>
      </c>
      <c r="I263">
        <v>54</v>
      </c>
      <c r="J263">
        <v>47</v>
      </c>
      <c r="K263">
        <v>34</v>
      </c>
      <c r="L263">
        <v>27</v>
      </c>
      <c r="M263">
        <v>19</v>
      </c>
    </row>
    <row r="264" spans="1:13" x14ac:dyDescent="0.2">
      <c r="B264">
        <v>0.5</v>
      </c>
      <c r="C264">
        <v>332</v>
      </c>
      <c r="D264">
        <v>221</v>
      </c>
      <c r="E264">
        <v>172</v>
      </c>
      <c r="F264">
        <v>142</v>
      </c>
      <c r="G264">
        <v>107</v>
      </c>
      <c r="H264">
        <v>86</v>
      </c>
      <c r="I264">
        <v>72</v>
      </c>
      <c r="J264">
        <v>63</v>
      </c>
      <c r="K264">
        <v>45</v>
      </c>
      <c r="L264">
        <v>36</v>
      </c>
      <c r="M264">
        <v>25</v>
      </c>
    </row>
    <row r="265" spans="1:13" x14ac:dyDescent="0.2">
      <c r="B265">
        <v>0.2</v>
      </c>
      <c r="C265">
        <v>471</v>
      </c>
      <c r="D265">
        <v>320</v>
      </c>
      <c r="E265">
        <v>246</v>
      </c>
      <c r="F265">
        <v>203</v>
      </c>
      <c r="G265">
        <v>153</v>
      </c>
      <c r="H265">
        <v>124</v>
      </c>
      <c r="I265">
        <v>103</v>
      </c>
      <c r="J265">
        <v>89</v>
      </c>
      <c r="K265">
        <v>63</v>
      </c>
      <c r="L265">
        <v>49</v>
      </c>
      <c r="M265">
        <v>34</v>
      </c>
    </row>
    <row r="266" spans="1:13" x14ac:dyDescent="0.2">
      <c r="B266">
        <v>0.1</v>
      </c>
      <c r="C266">
        <v>580</v>
      </c>
      <c r="D266">
        <v>400</v>
      </c>
      <c r="E266">
        <v>312</v>
      </c>
      <c r="F266">
        <v>256</v>
      </c>
      <c r="G266">
        <v>193</v>
      </c>
      <c r="H266">
        <v>157</v>
      </c>
      <c r="I266">
        <v>132</v>
      </c>
      <c r="J266">
        <v>113</v>
      </c>
      <c r="K266">
        <v>82</v>
      </c>
      <c r="L266">
        <v>64</v>
      </c>
      <c r="M266">
        <v>43</v>
      </c>
    </row>
    <row r="267" spans="1:13" x14ac:dyDescent="0.2">
      <c r="B267">
        <v>0.05</v>
      </c>
      <c r="C267">
        <v>702</v>
      </c>
      <c r="D267">
        <v>499</v>
      </c>
      <c r="E267">
        <v>389</v>
      </c>
      <c r="F267">
        <v>317</v>
      </c>
      <c r="G267">
        <v>240</v>
      </c>
      <c r="H267">
        <v>193</v>
      </c>
      <c r="I267">
        <v>162</v>
      </c>
      <c r="J267">
        <v>140</v>
      </c>
      <c r="K267">
        <v>99</v>
      </c>
      <c r="L267">
        <v>78</v>
      </c>
      <c r="M267">
        <v>53</v>
      </c>
    </row>
    <row r="268" spans="1:13" x14ac:dyDescent="0.2">
      <c r="B268">
        <v>3.3000000000000002E-2</v>
      </c>
      <c r="C268">
        <v>780</v>
      </c>
      <c r="D268">
        <v>552</v>
      </c>
      <c r="E268">
        <v>433</v>
      </c>
      <c r="F268">
        <v>356</v>
      </c>
      <c r="G268">
        <v>268</v>
      </c>
      <c r="H268">
        <v>217</v>
      </c>
      <c r="I268">
        <v>180</v>
      </c>
      <c r="J268">
        <v>155</v>
      </c>
      <c r="K268">
        <v>110</v>
      </c>
      <c r="L268">
        <v>86</v>
      </c>
      <c r="M268">
        <v>58</v>
      </c>
    </row>
    <row r="269" spans="1:13" x14ac:dyDescent="0.2">
      <c r="B269">
        <v>0.02</v>
      </c>
      <c r="C269">
        <v>811.2</v>
      </c>
      <c r="D269">
        <v>579.6</v>
      </c>
      <c r="E269">
        <v>458.98</v>
      </c>
      <c r="F269">
        <v>377.36</v>
      </c>
      <c r="G269">
        <v>284.08</v>
      </c>
      <c r="H269">
        <v>230.02</v>
      </c>
      <c r="I269">
        <v>190.8</v>
      </c>
      <c r="J269">
        <v>164.3</v>
      </c>
      <c r="K269">
        <v>116.6</v>
      </c>
      <c r="L269">
        <v>92.02</v>
      </c>
      <c r="M269">
        <v>62.06</v>
      </c>
    </row>
    <row r="270" spans="1:13" x14ac:dyDescent="0.2">
      <c r="B270">
        <v>0.01</v>
      </c>
      <c r="C270">
        <v>850.2</v>
      </c>
      <c r="D270">
        <v>607.20000000000005</v>
      </c>
      <c r="E270">
        <v>485</v>
      </c>
      <c r="F270">
        <v>395.16</v>
      </c>
      <c r="G270">
        <v>297.48</v>
      </c>
      <c r="H270">
        <v>243.04</v>
      </c>
      <c r="I270">
        <v>201.6</v>
      </c>
      <c r="J270">
        <v>175</v>
      </c>
      <c r="K270">
        <v>127</v>
      </c>
      <c r="L270">
        <v>97.18</v>
      </c>
      <c r="M270">
        <v>66.12</v>
      </c>
    </row>
    <row r="271" spans="1:13" x14ac:dyDescent="0.2">
      <c r="A271">
        <v>28</v>
      </c>
      <c r="B271" t="s">
        <v>143</v>
      </c>
      <c r="E271" t="s">
        <v>117</v>
      </c>
    </row>
    <row r="272" spans="1:13" x14ac:dyDescent="0.2">
      <c r="B272" t="s">
        <v>52</v>
      </c>
      <c r="C272">
        <v>5</v>
      </c>
      <c r="D272">
        <v>10</v>
      </c>
      <c r="E272">
        <v>15</v>
      </c>
      <c r="F272">
        <v>20</v>
      </c>
      <c r="G272">
        <v>30</v>
      </c>
      <c r="H272">
        <v>40</v>
      </c>
      <c r="I272">
        <v>50</v>
      </c>
      <c r="J272">
        <v>60</v>
      </c>
      <c r="K272">
        <v>90</v>
      </c>
      <c r="L272">
        <v>120</v>
      </c>
      <c r="M272">
        <v>180</v>
      </c>
    </row>
    <row r="273" spans="1:13" x14ac:dyDescent="0.2">
      <c r="B273">
        <v>1</v>
      </c>
      <c r="C273">
        <v>270</v>
      </c>
      <c r="D273">
        <v>176</v>
      </c>
      <c r="E273">
        <v>136</v>
      </c>
      <c r="F273">
        <v>112</v>
      </c>
      <c r="G273">
        <v>84</v>
      </c>
      <c r="H273">
        <v>67</v>
      </c>
      <c r="I273">
        <v>56</v>
      </c>
      <c r="J273">
        <v>48</v>
      </c>
      <c r="K273">
        <v>35</v>
      </c>
      <c r="L273">
        <v>27</v>
      </c>
      <c r="M273">
        <v>18</v>
      </c>
    </row>
    <row r="274" spans="1:13" x14ac:dyDescent="0.2">
      <c r="B274">
        <v>0.5</v>
      </c>
      <c r="C274">
        <v>330</v>
      </c>
      <c r="D274">
        <v>219</v>
      </c>
      <c r="E274">
        <v>168</v>
      </c>
      <c r="F274">
        <v>139</v>
      </c>
      <c r="G274">
        <v>104</v>
      </c>
      <c r="H274">
        <v>84</v>
      </c>
      <c r="I274">
        <v>70</v>
      </c>
      <c r="J274">
        <v>60</v>
      </c>
      <c r="K274">
        <v>44</v>
      </c>
      <c r="L274">
        <v>34</v>
      </c>
      <c r="M274">
        <v>23</v>
      </c>
    </row>
    <row r="275" spans="1:13" x14ac:dyDescent="0.2">
      <c r="B275">
        <v>0.2</v>
      </c>
      <c r="C275">
        <v>400</v>
      </c>
      <c r="D275">
        <v>274</v>
      </c>
      <c r="E275">
        <v>212</v>
      </c>
      <c r="F275">
        <v>176</v>
      </c>
      <c r="G275">
        <v>133</v>
      </c>
      <c r="H275">
        <v>107</v>
      </c>
      <c r="I275">
        <v>88</v>
      </c>
      <c r="J275">
        <v>76</v>
      </c>
      <c r="K275">
        <v>54</v>
      </c>
      <c r="L275">
        <v>42</v>
      </c>
      <c r="M275">
        <v>29</v>
      </c>
    </row>
    <row r="276" spans="1:13" x14ac:dyDescent="0.2">
      <c r="B276">
        <v>0.1</v>
      </c>
      <c r="C276">
        <v>450</v>
      </c>
      <c r="D276">
        <v>315</v>
      </c>
      <c r="E276">
        <v>248</v>
      </c>
      <c r="F276">
        <v>205</v>
      </c>
      <c r="G276">
        <v>156</v>
      </c>
      <c r="H276">
        <v>127</v>
      </c>
      <c r="I276">
        <v>105</v>
      </c>
      <c r="J276">
        <v>90</v>
      </c>
      <c r="K276">
        <v>64</v>
      </c>
      <c r="L276">
        <v>49</v>
      </c>
      <c r="M276">
        <v>34</v>
      </c>
    </row>
    <row r="277" spans="1:13" x14ac:dyDescent="0.2">
      <c r="B277">
        <v>0.05</v>
      </c>
      <c r="C277">
        <v>485</v>
      </c>
      <c r="D277">
        <v>353</v>
      </c>
      <c r="E277">
        <v>280</v>
      </c>
      <c r="F277">
        <v>234</v>
      </c>
      <c r="G277">
        <v>180</v>
      </c>
      <c r="H277">
        <v>145</v>
      </c>
      <c r="I277">
        <v>120</v>
      </c>
      <c r="J277">
        <v>104</v>
      </c>
      <c r="K277">
        <v>74</v>
      </c>
      <c r="L277">
        <v>57</v>
      </c>
      <c r="M277">
        <v>39</v>
      </c>
    </row>
    <row r="278" spans="1:13" x14ac:dyDescent="0.2">
      <c r="B278">
        <v>3.3000000000000002E-2</v>
      </c>
      <c r="C278">
        <v>500</v>
      </c>
      <c r="D278">
        <v>373</v>
      </c>
      <c r="E278">
        <v>300</v>
      </c>
      <c r="F278">
        <v>251</v>
      </c>
      <c r="G278">
        <v>194</v>
      </c>
      <c r="H278">
        <v>155</v>
      </c>
      <c r="I278">
        <v>130</v>
      </c>
      <c r="J278">
        <v>113</v>
      </c>
      <c r="K278">
        <v>80</v>
      </c>
      <c r="L278">
        <v>62</v>
      </c>
      <c r="M278">
        <v>43</v>
      </c>
    </row>
    <row r="279" spans="1:13" x14ac:dyDescent="0.2">
      <c r="B279">
        <v>0.02</v>
      </c>
      <c r="C279">
        <v>507</v>
      </c>
      <c r="D279">
        <v>389</v>
      </c>
      <c r="E279">
        <v>313</v>
      </c>
      <c r="F279">
        <v>262</v>
      </c>
      <c r="G279">
        <v>200</v>
      </c>
      <c r="H279">
        <v>162</v>
      </c>
      <c r="I279">
        <v>137</v>
      </c>
      <c r="J279">
        <v>118</v>
      </c>
      <c r="K279">
        <v>85</v>
      </c>
      <c r="L279">
        <v>66</v>
      </c>
      <c r="M279">
        <v>46</v>
      </c>
    </row>
    <row r="280" spans="1:13" x14ac:dyDescent="0.2">
      <c r="B280">
        <v>0.01</v>
      </c>
      <c r="C280">
        <v>532.35</v>
      </c>
      <c r="D280">
        <v>408.45</v>
      </c>
      <c r="E280">
        <v>328.65</v>
      </c>
      <c r="F280">
        <v>275.10000000000002</v>
      </c>
      <c r="G280">
        <v>210</v>
      </c>
      <c r="H280">
        <v>170.1</v>
      </c>
      <c r="I280">
        <v>143.85</v>
      </c>
      <c r="J280">
        <v>125.08</v>
      </c>
      <c r="K280">
        <v>90.1</v>
      </c>
      <c r="L280">
        <v>69.959999999999994</v>
      </c>
      <c r="M280">
        <v>49.22</v>
      </c>
    </row>
    <row r="281" spans="1:13" x14ac:dyDescent="0.2">
      <c r="A281">
        <v>29</v>
      </c>
      <c r="B281" t="s">
        <v>144</v>
      </c>
      <c r="E281" t="s">
        <v>117</v>
      </c>
    </row>
    <row r="282" spans="1:13" x14ac:dyDescent="0.2">
      <c r="B282" t="s">
        <v>52</v>
      </c>
      <c r="C282">
        <v>5</v>
      </c>
      <c r="D282">
        <v>10</v>
      </c>
      <c r="E282">
        <v>15</v>
      </c>
      <c r="F282">
        <v>20</v>
      </c>
      <c r="G282">
        <v>30</v>
      </c>
      <c r="H282">
        <v>40</v>
      </c>
      <c r="I282">
        <v>50</v>
      </c>
      <c r="J282">
        <v>60</v>
      </c>
      <c r="K282">
        <v>90</v>
      </c>
      <c r="L282">
        <v>120</v>
      </c>
      <c r="M282">
        <v>180</v>
      </c>
    </row>
    <row r="283" spans="1:13" x14ac:dyDescent="0.2">
      <c r="B283">
        <v>1</v>
      </c>
      <c r="C283">
        <v>222</v>
      </c>
      <c r="D283">
        <v>146</v>
      </c>
      <c r="E283">
        <v>113</v>
      </c>
      <c r="F283">
        <v>94</v>
      </c>
      <c r="G283">
        <v>72</v>
      </c>
      <c r="H283">
        <v>59</v>
      </c>
      <c r="I283">
        <v>50</v>
      </c>
      <c r="J283">
        <v>44</v>
      </c>
      <c r="K283">
        <v>32</v>
      </c>
      <c r="L283">
        <v>25</v>
      </c>
      <c r="M283">
        <v>18</v>
      </c>
    </row>
    <row r="284" spans="1:13" x14ac:dyDescent="0.2">
      <c r="B284">
        <v>0.5</v>
      </c>
      <c r="C284">
        <v>261</v>
      </c>
      <c r="D284">
        <v>177</v>
      </c>
      <c r="E284">
        <v>140</v>
      </c>
      <c r="F284">
        <v>117</v>
      </c>
      <c r="G284">
        <v>90</v>
      </c>
      <c r="H284">
        <v>74</v>
      </c>
      <c r="I284">
        <v>63</v>
      </c>
      <c r="J284">
        <v>55</v>
      </c>
      <c r="K284">
        <v>41</v>
      </c>
      <c r="L284">
        <v>33</v>
      </c>
      <c r="M284">
        <v>23</v>
      </c>
    </row>
    <row r="285" spans="1:13" x14ac:dyDescent="0.2">
      <c r="B285">
        <v>0.2</v>
      </c>
      <c r="C285">
        <v>313</v>
      </c>
      <c r="D285">
        <v>215</v>
      </c>
      <c r="E285">
        <v>173</v>
      </c>
      <c r="F285">
        <v>147</v>
      </c>
      <c r="G285">
        <v>116</v>
      </c>
      <c r="H285">
        <v>96</v>
      </c>
      <c r="I285">
        <v>83</v>
      </c>
      <c r="J285">
        <v>74</v>
      </c>
      <c r="K285">
        <v>55</v>
      </c>
      <c r="L285">
        <v>46</v>
      </c>
      <c r="M285">
        <v>33</v>
      </c>
    </row>
    <row r="286" spans="1:13" x14ac:dyDescent="0.2">
      <c r="B286">
        <v>0.1</v>
      </c>
      <c r="C286">
        <v>347</v>
      </c>
      <c r="D286">
        <v>245</v>
      </c>
      <c r="E286">
        <v>198</v>
      </c>
      <c r="F286">
        <v>170</v>
      </c>
      <c r="G286">
        <v>135</v>
      </c>
      <c r="H286">
        <v>114</v>
      </c>
      <c r="I286">
        <v>98</v>
      </c>
      <c r="J286">
        <v>87</v>
      </c>
      <c r="K286">
        <v>67</v>
      </c>
      <c r="L286">
        <v>54</v>
      </c>
      <c r="M286">
        <v>38</v>
      </c>
    </row>
    <row r="287" spans="1:13" x14ac:dyDescent="0.2">
      <c r="B287">
        <v>0.05</v>
      </c>
      <c r="C287">
        <v>370</v>
      </c>
      <c r="D287">
        <v>270</v>
      </c>
      <c r="E287">
        <v>220</v>
      </c>
      <c r="F287">
        <v>190</v>
      </c>
      <c r="G287">
        <v>153</v>
      </c>
      <c r="H287">
        <v>130</v>
      </c>
      <c r="I287">
        <v>112</v>
      </c>
      <c r="J287">
        <v>100</v>
      </c>
      <c r="K287">
        <v>77</v>
      </c>
      <c r="L287">
        <v>63</v>
      </c>
      <c r="M287">
        <v>45</v>
      </c>
    </row>
    <row r="288" spans="1:13" x14ac:dyDescent="0.2">
      <c r="B288">
        <v>3.3000000000000002E-2</v>
      </c>
      <c r="C288">
        <v>399.6</v>
      </c>
      <c r="D288">
        <v>288.89999999999998</v>
      </c>
      <c r="E288">
        <v>235.4</v>
      </c>
      <c r="F288">
        <v>203.3</v>
      </c>
      <c r="G288">
        <v>165.24</v>
      </c>
      <c r="H288">
        <v>141.69999999999999</v>
      </c>
      <c r="I288">
        <v>123.2</v>
      </c>
      <c r="J288">
        <v>110</v>
      </c>
      <c r="K288">
        <v>85.47</v>
      </c>
      <c r="L288">
        <v>68</v>
      </c>
      <c r="M288">
        <v>50.85</v>
      </c>
    </row>
    <row r="289" spans="1:13" x14ac:dyDescent="0.2">
      <c r="B289">
        <v>0.02</v>
      </c>
      <c r="C289">
        <v>410.7</v>
      </c>
      <c r="D289">
        <v>299.7</v>
      </c>
      <c r="E289">
        <v>244.2</v>
      </c>
      <c r="F289">
        <v>210.9</v>
      </c>
      <c r="G289">
        <v>172.89</v>
      </c>
      <c r="H289">
        <v>146.9</v>
      </c>
      <c r="I289">
        <v>127.68</v>
      </c>
      <c r="J289">
        <v>114</v>
      </c>
      <c r="K289">
        <v>89.32</v>
      </c>
      <c r="L289">
        <v>73.08</v>
      </c>
      <c r="M289">
        <v>52.65</v>
      </c>
    </row>
    <row r="290" spans="1:13" x14ac:dyDescent="0.2">
      <c r="B290">
        <v>0.01</v>
      </c>
      <c r="C290">
        <v>432.9</v>
      </c>
      <c r="D290">
        <v>318.60000000000002</v>
      </c>
      <c r="E290">
        <v>264</v>
      </c>
      <c r="F290">
        <v>226.1</v>
      </c>
      <c r="G290">
        <v>185.13</v>
      </c>
      <c r="H290">
        <v>158</v>
      </c>
      <c r="I290">
        <v>135</v>
      </c>
      <c r="J290">
        <v>121</v>
      </c>
      <c r="K290">
        <v>92</v>
      </c>
      <c r="L290">
        <v>74.97</v>
      </c>
      <c r="M290">
        <v>53.55</v>
      </c>
    </row>
    <row r="291" spans="1:13" x14ac:dyDescent="0.2">
      <c r="A291">
        <v>30</v>
      </c>
      <c r="B291" t="s">
        <v>145</v>
      </c>
      <c r="E291" t="s">
        <v>117</v>
      </c>
    </row>
    <row r="292" spans="1:13" x14ac:dyDescent="0.2">
      <c r="B292" t="s">
        <v>52</v>
      </c>
      <c r="C292">
        <v>5</v>
      </c>
      <c r="D292">
        <v>10</v>
      </c>
      <c r="E292">
        <v>15</v>
      </c>
      <c r="F292">
        <v>20</v>
      </c>
      <c r="G292">
        <v>30</v>
      </c>
      <c r="H292">
        <v>40</v>
      </c>
      <c r="I292">
        <v>50</v>
      </c>
      <c r="J292">
        <v>60</v>
      </c>
      <c r="K292">
        <v>90</v>
      </c>
      <c r="L292">
        <v>120</v>
      </c>
      <c r="M292">
        <v>180</v>
      </c>
    </row>
    <row r="293" spans="1:13" x14ac:dyDescent="0.2">
      <c r="B293">
        <v>1</v>
      </c>
      <c r="C293">
        <v>249</v>
      </c>
      <c r="D293">
        <v>170</v>
      </c>
      <c r="E293">
        <v>133</v>
      </c>
      <c r="F293">
        <v>110</v>
      </c>
      <c r="G293">
        <v>82</v>
      </c>
      <c r="H293">
        <v>66</v>
      </c>
      <c r="I293">
        <v>55</v>
      </c>
      <c r="J293">
        <v>47</v>
      </c>
      <c r="K293">
        <v>33</v>
      </c>
      <c r="L293">
        <v>26</v>
      </c>
      <c r="M293">
        <v>18</v>
      </c>
    </row>
    <row r="294" spans="1:13" x14ac:dyDescent="0.2">
      <c r="B294">
        <v>0.5</v>
      </c>
      <c r="C294">
        <v>286</v>
      </c>
      <c r="D294">
        <v>200</v>
      </c>
      <c r="E294">
        <v>158</v>
      </c>
      <c r="F294">
        <v>132</v>
      </c>
      <c r="G294">
        <v>99</v>
      </c>
      <c r="H294">
        <v>79</v>
      </c>
      <c r="I294">
        <v>65</v>
      </c>
      <c r="J294">
        <v>56</v>
      </c>
      <c r="K294">
        <v>40</v>
      </c>
      <c r="L294">
        <v>31</v>
      </c>
      <c r="M294">
        <v>21</v>
      </c>
    </row>
    <row r="295" spans="1:13" x14ac:dyDescent="0.2">
      <c r="B295">
        <v>0.2</v>
      </c>
      <c r="C295">
        <v>316</v>
      </c>
      <c r="D295">
        <v>234</v>
      </c>
      <c r="E295">
        <v>188</v>
      </c>
      <c r="F295">
        <v>157</v>
      </c>
      <c r="G295">
        <v>118</v>
      </c>
      <c r="H295">
        <v>94</v>
      </c>
      <c r="I295">
        <v>78</v>
      </c>
      <c r="J295">
        <v>68</v>
      </c>
      <c r="K295">
        <v>47</v>
      </c>
      <c r="L295">
        <v>37</v>
      </c>
      <c r="M295">
        <v>25</v>
      </c>
    </row>
    <row r="296" spans="1:13" x14ac:dyDescent="0.2">
      <c r="B296">
        <v>0.1</v>
      </c>
      <c r="C296">
        <v>348</v>
      </c>
      <c r="D296">
        <v>261</v>
      </c>
      <c r="E296">
        <v>210</v>
      </c>
      <c r="F296">
        <v>175</v>
      </c>
      <c r="G296">
        <v>130</v>
      </c>
      <c r="H296">
        <v>103</v>
      </c>
      <c r="I296">
        <v>86</v>
      </c>
      <c r="J296">
        <v>74</v>
      </c>
      <c r="K296">
        <v>52</v>
      </c>
      <c r="L296">
        <v>40</v>
      </c>
      <c r="M296">
        <v>28</v>
      </c>
    </row>
    <row r="297" spans="1:13" x14ac:dyDescent="0.2">
      <c r="B297">
        <v>0.05</v>
      </c>
      <c r="C297">
        <v>374</v>
      </c>
      <c r="D297">
        <v>282</v>
      </c>
      <c r="E297">
        <v>224</v>
      </c>
      <c r="F297">
        <v>187</v>
      </c>
      <c r="G297">
        <v>142</v>
      </c>
      <c r="H297">
        <v>115</v>
      </c>
      <c r="I297">
        <v>96</v>
      </c>
      <c r="J297">
        <v>83</v>
      </c>
      <c r="K297">
        <v>58</v>
      </c>
      <c r="L297">
        <v>45</v>
      </c>
      <c r="M297">
        <v>31</v>
      </c>
    </row>
    <row r="298" spans="1:13" x14ac:dyDescent="0.2">
      <c r="B298">
        <v>3.3000000000000002E-2</v>
      </c>
      <c r="C298">
        <v>390</v>
      </c>
      <c r="D298">
        <v>298</v>
      </c>
      <c r="E298">
        <v>237</v>
      </c>
      <c r="F298">
        <v>197</v>
      </c>
      <c r="G298">
        <v>150</v>
      </c>
      <c r="H298">
        <v>122</v>
      </c>
      <c r="I298">
        <v>102</v>
      </c>
      <c r="J298">
        <v>89</v>
      </c>
      <c r="K298">
        <v>62</v>
      </c>
      <c r="L298">
        <v>48</v>
      </c>
      <c r="M298">
        <v>33</v>
      </c>
    </row>
    <row r="299" spans="1:13" x14ac:dyDescent="0.2">
      <c r="B299">
        <v>0.02</v>
      </c>
      <c r="C299">
        <v>410</v>
      </c>
      <c r="D299">
        <v>310</v>
      </c>
      <c r="E299">
        <v>248</v>
      </c>
      <c r="F299">
        <v>208</v>
      </c>
      <c r="G299">
        <v>158</v>
      </c>
      <c r="H299">
        <v>128</v>
      </c>
      <c r="I299">
        <v>108</v>
      </c>
      <c r="J299">
        <v>93</v>
      </c>
      <c r="K299">
        <v>67</v>
      </c>
      <c r="L299">
        <v>52</v>
      </c>
      <c r="M299">
        <v>36</v>
      </c>
    </row>
    <row r="300" spans="1:13" x14ac:dyDescent="0.2">
      <c r="B300">
        <v>0.01</v>
      </c>
      <c r="C300">
        <v>430.5</v>
      </c>
      <c r="D300">
        <v>325.5</v>
      </c>
      <c r="E300">
        <v>260.39999999999998</v>
      </c>
      <c r="F300">
        <v>218.4</v>
      </c>
      <c r="G300">
        <v>165.9</v>
      </c>
      <c r="H300">
        <v>134.4</v>
      </c>
      <c r="I300">
        <v>113.4</v>
      </c>
      <c r="J300">
        <v>99</v>
      </c>
      <c r="K300">
        <v>71.02</v>
      </c>
      <c r="L300">
        <v>55.12</v>
      </c>
      <c r="M300">
        <v>38</v>
      </c>
    </row>
    <row r="301" spans="1:13" x14ac:dyDescent="0.2">
      <c r="A301">
        <v>31</v>
      </c>
      <c r="B301" t="s">
        <v>146</v>
      </c>
      <c r="E301" t="s">
        <v>117</v>
      </c>
    </row>
    <row r="302" spans="1:13" x14ac:dyDescent="0.2">
      <c r="B302" t="s">
        <v>52</v>
      </c>
      <c r="C302">
        <v>5</v>
      </c>
      <c r="D302">
        <v>10</v>
      </c>
      <c r="E302">
        <v>15</v>
      </c>
      <c r="F302">
        <v>20</v>
      </c>
      <c r="G302">
        <v>30</v>
      </c>
      <c r="H302">
        <v>40</v>
      </c>
      <c r="I302">
        <v>50</v>
      </c>
      <c r="J302">
        <v>60</v>
      </c>
      <c r="K302">
        <v>90</v>
      </c>
      <c r="L302">
        <v>120</v>
      </c>
      <c r="M302">
        <v>180</v>
      </c>
    </row>
    <row r="303" spans="1:13" x14ac:dyDescent="0.2">
      <c r="B303">
        <v>1</v>
      </c>
      <c r="C303">
        <v>252</v>
      </c>
      <c r="D303">
        <v>171</v>
      </c>
      <c r="E303">
        <v>131</v>
      </c>
      <c r="F303">
        <v>108</v>
      </c>
      <c r="G303">
        <v>80</v>
      </c>
      <c r="H303">
        <v>64</v>
      </c>
      <c r="I303">
        <v>54</v>
      </c>
      <c r="J303">
        <v>47</v>
      </c>
      <c r="K303">
        <v>33</v>
      </c>
      <c r="L303">
        <v>26</v>
      </c>
      <c r="M303">
        <v>18</v>
      </c>
    </row>
    <row r="304" spans="1:13" x14ac:dyDescent="0.2">
      <c r="B304">
        <v>0.5</v>
      </c>
      <c r="C304">
        <v>290</v>
      </c>
      <c r="D304">
        <v>202</v>
      </c>
      <c r="E304">
        <v>156</v>
      </c>
      <c r="F304">
        <v>129</v>
      </c>
      <c r="G304">
        <v>96</v>
      </c>
      <c r="H304">
        <v>78</v>
      </c>
      <c r="I304">
        <v>66</v>
      </c>
      <c r="J304">
        <v>57</v>
      </c>
      <c r="K304">
        <v>41</v>
      </c>
      <c r="L304">
        <v>32</v>
      </c>
      <c r="M304">
        <v>22</v>
      </c>
    </row>
    <row r="305" spans="1:13" x14ac:dyDescent="0.2">
      <c r="B305">
        <v>0.2</v>
      </c>
      <c r="C305">
        <v>345</v>
      </c>
      <c r="D305">
        <v>240</v>
      </c>
      <c r="E305">
        <v>188</v>
      </c>
      <c r="F305">
        <v>156</v>
      </c>
      <c r="G305">
        <v>118</v>
      </c>
      <c r="H305">
        <v>96</v>
      </c>
      <c r="I305">
        <v>81</v>
      </c>
      <c r="J305">
        <v>70</v>
      </c>
      <c r="K305">
        <v>50</v>
      </c>
      <c r="L305">
        <v>40</v>
      </c>
      <c r="M305">
        <v>28</v>
      </c>
    </row>
    <row r="306" spans="1:13" x14ac:dyDescent="0.2">
      <c r="B306">
        <v>0.1</v>
      </c>
      <c r="C306">
        <v>380</v>
      </c>
      <c r="D306">
        <v>270</v>
      </c>
      <c r="E306">
        <v>213</v>
      </c>
      <c r="F306">
        <v>177</v>
      </c>
      <c r="G306">
        <v>134</v>
      </c>
      <c r="H306">
        <v>109</v>
      </c>
      <c r="I306">
        <v>92</v>
      </c>
      <c r="J306">
        <v>80</v>
      </c>
      <c r="K306">
        <v>58</v>
      </c>
      <c r="L306">
        <v>46</v>
      </c>
      <c r="M306">
        <v>32</v>
      </c>
    </row>
    <row r="307" spans="1:13" x14ac:dyDescent="0.2">
      <c r="B307">
        <v>0.05</v>
      </c>
      <c r="C307">
        <v>417</v>
      </c>
      <c r="D307">
        <v>295</v>
      </c>
      <c r="E307">
        <v>231</v>
      </c>
      <c r="F307">
        <v>191</v>
      </c>
      <c r="G307">
        <v>145</v>
      </c>
      <c r="H307">
        <v>118</v>
      </c>
      <c r="I307">
        <v>99</v>
      </c>
      <c r="J307">
        <v>86</v>
      </c>
      <c r="K307">
        <v>62</v>
      </c>
      <c r="L307">
        <v>48</v>
      </c>
      <c r="M307">
        <v>34</v>
      </c>
    </row>
    <row r="308" spans="1:13" x14ac:dyDescent="0.2">
      <c r="B308">
        <v>3.3000000000000002E-2</v>
      </c>
      <c r="C308">
        <v>447</v>
      </c>
      <c r="D308">
        <v>313</v>
      </c>
      <c r="E308">
        <v>248</v>
      </c>
      <c r="F308">
        <v>204</v>
      </c>
      <c r="G308">
        <v>155</v>
      </c>
      <c r="H308">
        <v>126</v>
      </c>
      <c r="I308">
        <v>105</v>
      </c>
      <c r="J308">
        <v>91</v>
      </c>
      <c r="K308">
        <v>66</v>
      </c>
      <c r="L308">
        <v>51</v>
      </c>
      <c r="M308">
        <v>36</v>
      </c>
    </row>
    <row r="309" spans="1:13" x14ac:dyDescent="0.2">
      <c r="B309">
        <v>0.02</v>
      </c>
      <c r="C309">
        <v>464.88</v>
      </c>
      <c r="D309">
        <v>328.65</v>
      </c>
      <c r="E309">
        <v>262.88</v>
      </c>
      <c r="F309">
        <v>216.24</v>
      </c>
      <c r="G309">
        <v>164.3</v>
      </c>
      <c r="H309">
        <v>133.56</v>
      </c>
      <c r="I309">
        <v>111.3</v>
      </c>
      <c r="J309">
        <v>96.46</v>
      </c>
      <c r="K309">
        <v>69.959999999999994</v>
      </c>
      <c r="L309">
        <v>54.57</v>
      </c>
      <c r="M309">
        <v>38.520000000000003</v>
      </c>
    </row>
    <row r="310" spans="1:13" x14ac:dyDescent="0.2">
      <c r="B310">
        <v>0.01</v>
      </c>
      <c r="C310">
        <v>487.23</v>
      </c>
      <c r="D310">
        <v>344.3</v>
      </c>
      <c r="E310">
        <v>275.27999999999997</v>
      </c>
      <c r="F310">
        <v>226.44</v>
      </c>
      <c r="G310">
        <v>172.05</v>
      </c>
      <c r="H310">
        <v>141.12</v>
      </c>
      <c r="I310">
        <v>117.6</v>
      </c>
      <c r="J310">
        <v>102</v>
      </c>
      <c r="K310">
        <v>73</v>
      </c>
      <c r="L310">
        <v>57.63</v>
      </c>
      <c r="M310">
        <v>41.04</v>
      </c>
    </row>
    <row r="311" spans="1:13" x14ac:dyDescent="0.2">
      <c r="A311">
        <v>32</v>
      </c>
      <c r="B311" t="s">
        <v>147</v>
      </c>
      <c r="E311" t="s">
        <v>117</v>
      </c>
    </row>
    <row r="312" spans="1:13" x14ac:dyDescent="0.2">
      <c r="B312" t="s">
        <v>52</v>
      </c>
      <c r="C312">
        <v>5</v>
      </c>
      <c r="D312">
        <v>10</v>
      </c>
      <c r="E312">
        <v>15</v>
      </c>
      <c r="F312">
        <v>20</v>
      </c>
      <c r="G312">
        <v>30</v>
      </c>
      <c r="H312">
        <v>40</v>
      </c>
      <c r="I312">
        <v>50</v>
      </c>
      <c r="J312">
        <v>60</v>
      </c>
      <c r="K312">
        <v>90</v>
      </c>
      <c r="L312">
        <v>120</v>
      </c>
      <c r="M312">
        <v>180</v>
      </c>
    </row>
    <row r="313" spans="1:13" x14ac:dyDescent="0.2">
      <c r="B313">
        <v>1</v>
      </c>
      <c r="C313">
        <v>237</v>
      </c>
      <c r="D313">
        <v>161</v>
      </c>
      <c r="E313">
        <v>126</v>
      </c>
      <c r="F313">
        <v>106</v>
      </c>
      <c r="G313">
        <v>79</v>
      </c>
      <c r="H313">
        <v>64</v>
      </c>
      <c r="I313">
        <v>53</v>
      </c>
      <c r="J313">
        <v>46</v>
      </c>
      <c r="K313">
        <v>33</v>
      </c>
      <c r="L313">
        <v>25</v>
      </c>
      <c r="M313">
        <v>18</v>
      </c>
    </row>
    <row r="314" spans="1:13" x14ac:dyDescent="0.2">
      <c r="B314">
        <v>0.5</v>
      </c>
      <c r="C314">
        <v>285</v>
      </c>
      <c r="D314">
        <v>193</v>
      </c>
      <c r="E314">
        <v>152</v>
      </c>
      <c r="F314">
        <v>126</v>
      </c>
      <c r="G314">
        <v>94</v>
      </c>
      <c r="H314">
        <v>76</v>
      </c>
      <c r="I314">
        <v>64</v>
      </c>
      <c r="J314">
        <v>56</v>
      </c>
      <c r="K314">
        <v>40</v>
      </c>
      <c r="L314">
        <v>31</v>
      </c>
      <c r="M314">
        <v>22</v>
      </c>
    </row>
    <row r="315" spans="1:13" x14ac:dyDescent="0.2">
      <c r="B315">
        <v>0.2</v>
      </c>
      <c r="C315">
        <v>358</v>
      </c>
      <c r="D315">
        <v>238</v>
      </c>
      <c r="E315">
        <v>182</v>
      </c>
      <c r="F315">
        <v>152</v>
      </c>
      <c r="G315">
        <v>117</v>
      </c>
      <c r="H315">
        <v>95</v>
      </c>
      <c r="I315">
        <v>80</v>
      </c>
      <c r="J315">
        <v>69</v>
      </c>
      <c r="K315">
        <v>49</v>
      </c>
      <c r="L315">
        <v>38</v>
      </c>
      <c r="M315">
        <v>26</v>
      </c>
    </row>
    <row r="316" spans="1:13" x14ac:dyDescent="0.2">
      <c r="B316">
        <v>0.1</v>
      </c>
      <c r="C316">
        <v>389</v>
      </c>
      <c r="D316">
        <v>260</v>
      </c>
      <c r="E316">
        <v>202</v>
      </c>
      <c r="F316">
        <v>170</v>
      </c>
      <c r="G316">
        <v>131</v>
      </c>
      <c r="H316">
        <v>108</v>
      </c>
      <c r="I316">
        <v>91</v>
      </c>
      <c r="J316">
        <v>79</v>
      </c>
      <c r="K316">
        <v>55</v>
      </c>
      <c r="L316">
        <v>43</v>
      </c>
      <c r="M316">
        <v>29</v>
      </c>
    </row>
    <row r="317" spans="1:13" x14ac:dyDescent="0.2">
      <c r="B317">
        <v>0.05</v>
      </c>
      <c r="C317">
        <v>417</v>
      </c>
      <c r="D317">
        <v>285</v>
      </c>
      <c r="E317">
        <v>224</v>
      </c>
      <c r="F317">
        <v>188</v>
      </c>
      <c r="G317">
        <v>146</v>
      </c>
      <c r="H317">
        <v>122</v>
      </c>
      <c r="I317">
        <v>101</v>
      </c>
      <c r="J317">
        <v>86</v>
      </c>
      <c r="K317">
        <v>60</v>
      </c>
      <c r="L317">
        <v>47</v>
      </c>
      <c r="M317">
        <v>32</v>
      </c>
    </row>
    <row r="318" spans="1:13" x14ac:dyDescent="0.2">
      <c r="B318">
        <v>3.3000000000000002E-2</v>
      </c>
      <c r="C318">
        <v>453</v>
      </c>
      <c r="D318">
        <v>305</v>
      </c>
      <c r="E318">
        <v>238</v>
      </c>
      <c r="F318">
        <v>199</v>
      </c>
      <c r="G318">
        <v>156</v>
      </c>
      <c r="H318">
        <v>127</v>
      </c>
      <c r="I318">
        <v>107</v>
      </c>
      <c r="J318">
        <v>92</v>
      </c>
      <c r="K318">
        <v>65</v>
      </c>
      <c r="L318">
        <v>50</v>
      </c>
      <c r="M318">
        <v>34</v>
      </c>
    </row>
    <row r="319" spans="1:13" x14ac:dyDescent="0.2">
      <c r="B319">
        <v>0.02</v>
      </c>
      <c r="C319">
        <v>474</v>
      </c>
      <c r="D319">
        <v>323</v>
      </c>
      <c r="E319">
        <v>252</v>
      </c>
      <c r="F319">
        <v>208</v>
      </c>
      <c r="G319">
        <v>158</v>
      </c>
      <c r="H319">
        <v>130</v>
      </c>
      <c r="I319">
        <v>110</v>
      </c>
      <c r="J319">
        <v>96</v>
      </c>
      <c r="K319">
        <v>69</v>
      </c>
      <c r="L319">
        <v>53</v>
      </c>
      <c r="M319">
        <v>36</v>
      </c>
    </row>
    <row r="320" spans="1:13" x14ac:dyDescent="0.2">
      <c r="B320">
        <v>0.01</v>
      </c>
      <c r="C320">
        <v>497.7</v>
      </c>
      <c r="D320">
        <v>339.15</v>
      </c>
      <c r="E320">
        <v>264.60000000000002</v>
      </c>
      <c r="F320">
        <v>218.4</v>
      </c>
      <c r="G320">
        <v>165.9</v>
      </c>
      <c r="H320">
        <v>136.5</v>
      </c>
      <c r="I320">
        <v>115.5</v>
      </c>
      <c r="J320">
        <v>101.76</v>
      </c>
      <c r="K320">
        <v>73.14</v>
      </c>
      <c r="L320">
        <v>56.18</v>
      </c>
      <c r="M320">
        <v>38.520000000000003</v>
      </c>
    </row>
    <row r="321" spans="1:13" x14ac:dyDescent="0.2">
      <c r="A321">
        <v>33</v>
      </c>
      <c r="B321" t="s">
        <v>148</v>
      </c>
      <c r="E321" t="s">
        <v>117</v>
      </c>
    </row>
    <row r="322" spans="1:13" x14ac:dyDescent="0.2">
      <c r="B322" t="s">
        <v>52</v>
      </c>
      <c r="C322">
        <v>5</v>
      </c>
      <c r="D322">
        <v>10</v>
      </c>
      <c r="E322">
        <v>15</v>
      </c>
      <c r="F322">
        <v>20</v>
      </c>
      <c r="G322">
        <v>30</v>
      </c>
      <c r="H322">
        <v>40</v>
      </c>
      <c r="I322">
        <v>50</v>
      </c>
      <c r="J322">
        <v>60</v>
      </c>
      <c r="K322">
        <v>90</v>
      </c>
      <c r="L322">
        <v>120</v>
      </c>
      <c r="M322">
        <v>180</v>
      </c>
    </row>
    <row r="323" spans="1:13" x14ac:dyDescent="0.2">
      <c r="B323">
        <v>1</v>
      </c>
      <c r="C323">
        <v>261</v>
      </c>
      <c r="D323">
        <v>165</v>
      </c>
      <c r="E323">
        <v>123</v>
      </c>
      <c r="F323">
        <v>99</v>
      </c>
      <c r="G323">
        <v>73</v>
      </c>
      <c r="H323">
        <v>58</v>
      </c>
      <c r="I323">
        <v>48</v>
      </c>
      <c r="J323">
        <v>41</v>
      </c>
      <c r="K323">
        <v>29</v>
      </c>
      <c r="L323">
        <v>23</v>
      </c>
      <c r="M323">
        <v>16</v>
      </c>
    </row>
    <row r="324" spans="1:13" x14ac:dyDescent="0.2">
      <c r="B324">
        <v>0.5</v>
      </c>
      <c r="C324">
        <v>326</v>
      </c>
      <c r="D324">
        <v>204</v>
      </c>
      <c r="E324">
        <v>153</v>
      </c>
      <c r="F324">
        <v>123</v>
      </c>
      <c r="G324">
        <v>89</v>
      </c>
      <c r="H324">
        <v>70</v>
      </c>
      <c r="I324">
        <v>58</v>
      </c>
      <c r="J324">
        <v>49</v>
      </c>
      <c r="K324">
        <v>35</v>
      </c>
      <c r="L324">
        <v>27</v>
      </c>
      <c r="M324">
        <v>19</v>
      </c>
    </row>
    <row r="325" spans="1:13" x14ac:dyDescent="0.2">
      <c r="B325">
        <v>0.2</v>
      </c>
      <c r="C325">
        <v>401</v>
      </c>
      <c r="D325">
        <v>254</v>
      </c>
      <c r="E325">
        <v>189</v>
      </c>
      <c r="F325">
        <v>152</v>
      </c>
      <c r="G325">
        <v>110</v>
      </c>
      <c r="H325">
        <v>87</v>
      </c>
      <c r="I325">
        <v>71</v>
      </c>
      <c r="J325">
        <v>60</v>
      </c>
      <c r="K325">
        <v>42</v>
      </c>
      <c r="L325">
        <v>32</v>
      </c>
      <c r="M325">
        <v>22</v>
      </c>
    </row>
    <row r="326" spans="1:13" x14ac:dyDescent="0.2">
      <c r="B326">
        <v>0.1</v>
      </c>
      <c r="C326">
        <v>448</v>
      </c>
      <c r="D326">
        <v>287</v>
      </c>
      <c r="E326">
        <v>215</v>
      </c>
      <c r="F326">
        <v>172</v>
      </c>
      <c r="G326">
        <v>125</v>
      </c>
      <c r="H326">
        <v>98</v>
      </c>
      <c r="I326">
        <v>80</v>
      </c>
      <c r="J326">
        <v>69</v>
      </c>
      <c r="K326">
        <v>47</v>
      </c>
      <c r="L326">
        <v>37</v>
      </c>
      <c r="M326">
        <v>25</v>
      </c>
    </row>
    <row r="327" spans="1:13" x14ac:dyDescent="0.2">
      <c r="B327">
        <v>0.05</v>
      </c>
      <c r="C327">
        <v>487</v>
      </c>
      <c r="D327">
        <v>310</v>
      </c>
      <c r="E327">
        <v>235</v>
      </c>
      <c r="F327">
        <v>190</v>
      </c>
      <c r="G327">
        <v>138</v>
      </c>
      <c r="H327">
        <v>109</v>
      </c>
      <c r="I327">
        <v>90</v>
      </c>
      <c r="J327">
        <v>77</v>
      </c>
      <c r="K327">
        <v>53</v>
      </c>
      <c r="L327">
        <v>41</v>
      </c>
      <c r="M327">
        <v>27</v>
      </c>
    </row>
    <row r="328" spans="1:13" x14ac:dyDescent="0.2">
      <c r="B328">
        <v>3.3000000000000002E-2</v>
      </c>
      <c r="C328">
        <v>502</v>
      </c>
      <c r="D328">
        <v>330</v>
      </c>
      <c r="E328">
        <v>249</v>
      </c>
      <c r="F328">
        <v>200</v>
      </c>
      <c r="G328">
        <v>146</v>
      </c>
      <c r="H328">
        <v>115</v>
      </c>
      <c r="I328">
        <v>94</v>
      </c>
      <c r="J328">
        <v>80</v>
      </c>
      <c r="K328">
        <v>55</v>
      </c>
      <c r="L328">
        <v>43</v>
      </c>
      <c r="M328">
        <v>29</v>
      </c>
    </row>
    <row r="329" spans="1:13" x14ac:dyDescent="0.2">
      <c r="B329">
        <v>0.02</v>
      </c>
      <c r="C329">
        <v>522.08000000000004</v>
      </c>
      <c r="D329">
        <v>346.5</v>
      </c>
      <c r="E329">
        <v>263.94</v>
      </c>
      <c r="F329">
        <v>212</v>
      </c>
      <c r="G329">
        <v>154.76</v>
      </c>
      <c r="H329">
        <v>121.9</v>
      </c>
      <c r="I329">
        <v>99.64</v>
      </c>
      <c r="J329">
        <v>84.8</v>
      </c>
      <c r="K329">
        <v>58.3</v>
      </c>
      <c r="L329">
        <v>46.01</v>
      </c>
      <c r="M329">
        <v>31.03</v>
      </c>
    </row>
    <row r="330" spans="1:13" x14ac:dyDescent="0.2">
      <c r="B330">
        <v>0.01</v>
      </c>
      <c r="C330">
        <v>547.17999999999995</v>
      </c>
      <c r="D330">
        <v>363</v>
      </c>
      <c r="E330">
        <v>276.39</v>
      </c>
      <c r="F330">
        <v>222</v>
      </c>
      <c r="G330">
        <v>162.06</v>
      </c>
      <c r="H330">
        <v>128.80000000000001</v>
      </c>
      <c r="I330">
        <v>105.28</v>
      </c>
      <c r="J330">
        <v>89.6</v>
      </c>
      <c r="K330">
        <v>62.15</v>
      </c>
      <c r="L330">
        <v>48.59</v>
      </c>
      <c r="M330">
        <v>33.06</v>
      </c>
    </row>
    <row r="331" spans="1:13" x14ac:dyDescent="0.2">
      <c r="A331">
        <v>34</v>
      </c>
      <c r="B331" t="s">
        <v>149</v>
      </c>
      <c r="E331" t="s">
        <v>117</v>
      </c>
    </row>
    <row r="332" spans="1:13" x14ac:dyDescent="0.2">
      <c r="B332" t="s">
        <v>52</v>
      </c>
      <c r="C332">
        <v>5</v>
      </c>
      <c r="D332">
        <v>10</v>
      </c>
      <c r="E332">
        <v>15</v>
      </c>
      <c r="F332">
        <v>20</v>
      </c>
      <c r="G332">
        <v>30</v>
      </c>
      <c r="H332">
        <v>40</v>
      </c>
      <c r="I332">
        <v>50</v>
      </c>
      <c r="J332">
        <v>60</v>
      </c>
      <c r="K332">
        <v>90</v>
      </c>
      <c r="L332">
        <v>120</v>
      </c>
      <c r="M332">
        <v>180</v>
      </c>
    </row>
    <row r="333" spans="1:13" x14ac:dyDescent="0.2">
      <c r="B333">
        <v>1</v>
      </c>
      <c r="C333">
        <v>283</v>
      </c>
      <c r="D333">
        <v>188</v>
      </c>
      <c r="E333">
        <v>144</v>
      </c>
      <c r="F333">
        <v>120</v>
      </c>
      <c r="G333">
        <v>90</v>
      </c>
      <c r="H333">
        <v>73</v>
      </c>
      <c r="I333">
        <v>61</v>
      </c>
      <c r="J333">
        <v>53</v>
      </c>
      <c r="K333">
        <v>38</v>
      </c>
      <c r="L333">
        <v>30</v>
      </c>
      <c r="M333">
        <v>21</v>
      </c>
    </row>
    <row r="334" spans="1:13" x14ac:dyDescent="0.2">
      <c r="B334">
        <v>0.5</v>
      </c>
      <c r="C334">
        <v>342</v>
      </c>
      <c r="D334">
        <v>228</v>
      </c>
      <c r="E334">
        <v>177</v>
      </c>
      <c r="F334">
        <v>147</v>
      </c>
      <c r="G334">
        <v>111</v>
      </c>
      <c r="H334">
        <v>90</v>
      </c>
      <c r="I334">
        <v>76</v>
      </c>
      <c r="J334">
        <v>66</v>
      </c>
      <c r="K334">
        <v>48</v>
      </c>
      <c r="L334">
        <v>38</v>
      </c>
      <c r="M334">
        <v>26</v>
      </c>
    </row>
    <row r="335" spans="1:13" x14ac:dyDescent="0.2">
      <c r="B335">
        <v>0.2</v>
      </c>
      <c r="C335">
        <v>414</v>
      </c>
      <c r="D335">
        <v>280</v>
      </c>
      <c r="E335">
        <v>220</v>
      </c>
      <c r="F335">
        <v>182</v>
      </c>
      <c r="G335">
        <v>140</v>
      </c>
      <c r="H335">
        <v>114</v>
      </c>
      <c r="I335">
        <v>96</v>
      </c>
      <c r="J335">
        <v>84</v>
      </c>
      <c r="K335">
        <v>61</v>
      </c>
      <c r="L335">
        <v>48</v>
      </c>
      <c r="M335">
        <v>34</v>
      </c>
    </row>
    <row r="336" spans="1:13" x14ac:dyDescent="0.2">
      <c r="B336">
        <v>0.1</v>
      </c>
      <c r="C336">
        <v>460</v>
      </c>
      <c r="D336">
        <v>314</v>
      </c>
      <c r="E336">
        <v>247</v>
      </c>
      <c r="F336">
        <v>206</v>
      </c>
      <c r="G336">
        <v>158</v>
      </c>
      <c r="H336">
        <v>129</v>
      </c>
      <c r="I336">
        <v>109</v>
      </c>
      <c r="J336">
        <v>95</v>
      </c>
      <c r="K336">
        <v>69</v>
      </c>
      <c r="L336">
        <v>54</v>
      </c>
      <c r="M336">
        <v>38</v>
      </c>
    </row>
    <row r="337" spans="1:13" x14ac:dyDescent="0.2">
      <c r="B337">
        <v>0.05</v>
      </c>
      <c r="C337">
        <v>490</v>
      </c>
      <c r="D337">
        <v>342</v>
      </c>
      <c r="E337">
        <v>270</v>
      </c>
      <c r="F337">
        <v>228</v>
      </c>
      <c r="G337">
        <v>175</v>
      </c>
      <c r="H337">
        <v>144</v>
      </c>
      <c r="I337">
        <v>123</v>
      </c>
      <c r="J337">
        <v>107</v>
      </c>
      <c r="K337">
        <v>79</v>
      </c>
      <c r="L337">
        <v>62</v>
      </c>
      <c r="M337">
        <v>42</v>
      </c>
    </row>
    <row r="338" spans="1:13" x14ac:dyDescent="0.2">
      <c r="B338">
        <v>3.3000000000000002E-2</v>
      </c>
      <c r="C338">
        <v>509</v>
      </c>
      <c r="D338">
        <v>360</v>
      </c>
      <c r="E338">
        <v>286</v>
      </c>
      <c r="F338">
        <v>240</v>
      </c>
      <c r="G338">
        <v>185</v>
      </c>
      <c r="H338">
        <v>152</v>
      </c>
      <c r="I338">
        <v>129</v>
      </c>
      <c r="J338">
        <v>113</v>
      </c>
      <c r="K338">
        <v>83</v>
      </c>
      <c r="L338">
        <v>66</v>
      </c>
      <c r="M338">
        <v>45</v>
      </c>
    </row>
    <row r="339" spans="1:13" x14ac:dyDescent="0.2">
      <c r="B339">
        <v>0.02</v>
      </c>
      <c r="C339">
        <v>529.36</v>
      </c>
      <c r="D339">
        <v>378</v>
      </c>
      <c r="E339">
        <v>303.16000000000003</v>
      </c>
      <c r="F339">
        <v>254.4</v>
      </c>
      <c r="G339">
        <v>196.1</v>
      </c>
      <c r="H339">
        <v>161.12</v>
      </c>
      <c r="I339">
        <v>136.74</v>
      </c>
      <c r="J339">
        <v>119.78</v>
      </c>
      <c r="K339">
        <v>87.98</v>
      </c>
      <c r="L339">
        <v>70.62</v>
      </c>
      <c r="M339">
        <v>48.15</v>
      </c>
    </row>
    <row r="340" spans="1:13" x14ac:dyDescent="0.2">
      <c r="B340">
        <v>0.01</v>
      </c>
      <c r="C340">
        <v>554.80999999999995</v>
      </c>
      <c r="D340">
        <v>396</v>
      </c>
      <c r="E340">
        <v>317.45999999999998</v>
      </c>
      <c r="F340">
        <v>266.39999999999998</v>
      </c>
      <c r="G340">
        <v>205.35</v>
      </c>
      <c r="H340">
        <v>170.24</v>
      </c>
      <c r="I340">
        <v>144.47999999999999</v>
      </c>
      <c r="J340">
        <v>127</v>
      </c>
      <c r="K340">
        <v>93.79</v>
      </c>
      <c r="L340">
        <v>74.58</v>
      </c>
      <c r="M340">
        <v>51.3</v>
      </c>
    </row>
    <row r="341" spans="1:13" x14ac:dyDescent="0.2">
      <c r="A341">
        <v>35</v>
      </c>
      <c r="B341" t="s">
        <v>150</v>
      </c>
      <c r="E341" t="s">
        <v>117</v>
      </c>
    </row>
    <row r="342" spans="1:13" x14ac:dyDescent="0.2">
      <c r="B342" t="s">
        <v>52</v>
      </c>
      <c r="C342">
        <v>5</v>
      </c>
      <c r="D342">
        <v>10</v>
      </c>
      <c r="E342">
        <v>15</v>
      </c>
      <c r="F342">
        <v>20</v>
      </c>
      <c r="G342">
        <v>30</v>
      </c>
      <c r="H342">
        <v>40</v>
      </c>
      <c r="I342">
        <v>50</v>
      </c>
      <c r="J342">
        <v>60</v>
      </c>
      <c r="K342">
        <v>90</v>
      </c>
      <c r="L342">
        <v>120</v>
      </c>
      <c r="M342">
        <v>180</v>
      </c>
    </row>
    <row r="343" spans="1:13" x14ac:dyDescent="0.2">
      <c r="B343">
        <v>1</v>
      </c>
      <c r="C343">
        <v>277</v>
      </c>
      <c r="D343">
        <v>180</v>
      </c>
      <c r="E343">
        <v>136</v>
      </c>
      <c r="F343">
        <v>111</v>
      </c>
      <c r="G343">
        <v>82</v>
      </c>
      <c r="H343">
        <v>65</v>
      </c>
      <c r="I343">
        <v>54</v>
      </c>
      <c r="J343">
        <v>47</v>
      </c>
      <c r="K343">
        <v>33</v>
      </c>
      <c r="L343">
        <v>26</v>
      </c>
      <c r="M343">
        <v>18</v>
      </c>
    </row>
    <row r="344" spans="1:13" x14ac:dyDescent="0.2">
      <c r="B344">
        <v>0.5</v>
      </c>
      <c r="C344">
        <v>335</v>
      </c>
      <c r="D344">
        <v>218</v>
      </c>
      <c r="E344">
        <v>166</v>
      </c>
      <c r="F344">
        <v>136</v>
      </c>
      <c r="G344">
        <v>100</v>
      </c>
      <c r="H344">
        <v>80</v>
      </c>
      <c r="I344">
        <v>67</v>
      </c>
      <c r="J344">
        <v>58</v>
      </c>
      <c r="K344">
        <v>41</v>
      </c>
      <c r="L344">
        <v>32</v>
      </c>
      <c r="M344">
        <v>22</v>
      </c>
    </row>
    <row r="345" spans="1:13" x14ac:dyDescent="0.2">
      <c r="B345">
        <v>0.2</v>
      </c>
      <c r="C345">
        <v>411</v>
      </c>
      <c r="D345">
        <v>276</v>
      </c>
      <c r="E345">
        <v>212</v>
      </c>
      <c r="F345">
        <v>172</v>
      </c>
      <c r="G345">
        <v>127</v>
      </c>
      <c r="H345">
        <v>102</v>
      </c>
      <c r="I345">
        <v>84</v>
      </c>
      <c r="J345">
        <v>73</v>
      </c>
      <c r="K345">
        <v>51</v>
      </c>
      <c r="L345">
        <v>40</v>
      </c>
      <c r="M345">
        <v>26</v>
      </c>
    </row>
    <row r="346" spans="1:13" x14ac:dyDescent="0.2">
      <c r="B346">
        <v>0.1</v>
      </c>
      <c r="C346">
        <v>480</v>
      </c>
      <c r="D346">
        <v>325</v>
      </c>
      <c r="E346">
        <v>250</v>
      </c>
      <c r="F346">
        <v>202</v>
      </c>
      <c r="G346">
        <v>148</v>
      </c>
      <c r="H346">
        <v>118</v>
      </c>
      <c r="I346">
        <v>97</v>
      </c>
      <c r="J346">
        <v>84</v>
      </c>
      <c r="K346">
        <v>58</v>
      </c>
      <c r="L346">
        <v>45</v>
      </c>
      <c r="M346">
        <v>30</v>
      </c>
    </row>
    <row r="347" spans="1:13" x14ac:dyDescent="0.2">
      <c r="B347">
        <v>0.05</v>
      </c>
      <c r="C347">
        <v>519</v>
      </c>
      <c r="D347">
        <v>375</v>
      </c>
      <c r="E347">
        <v>290</v>
      </c>
      <c r="F347">
        <v>235</v>
      </c>
      <c r="G347">
        <v>172</v>
      </c>
      <c r="H347">
        <v>137</v>
      </c>
      <c r="I347">
        <v>113</v>
      </c>
      <c r="J347">
        <v>96</v>
      </c>
      <c r="K347">
        <v>66</v>
      </c>
      <c r="L347">
        <v>50</v>
      </c>
      <c r="M347">
        <v>34</v>
      </c>
    </row>
    <row r="348" spans="1:13" x14ac:dyDescent="0.2">
      <c r="B348">
        <v>3.3000000000000002E-2</v>
      </c>
      <c r="C348">
        <v>580</v>
      </c>
      <c r="D348">
        <v>404</v>
      </c>
      <c r="E348">
        <v>312</v>
      </c>
      <c r="F348">
        <v>254</v>
      </c>
      <c r="G348">
        <v>186</v>
      </c>
      <c r="H348">
        <v>147</v>
      </c>
      <c r="I348">
        <v>121</v>
      </c>
      <c r="J348">
        <v>103</v>
      </c>
      <c r="K348">
        <v>70</v>
      </c>
      <c r="L348">
        <v>54</v>
      </c>
      <c r="M348">
        <v>37</v>
      </c>
    </row>
    <row r="349" spans="1:13" x14ac:dyDescent="0.2">
      <c r="B349">
        <v>0.02</v>
      </c>
      <c r="C349">
        <v>603.20000000000005</v>
      </c>
      <c r="D349">
        <v>424.2</v>
      </c>
      <c r="E349">
        <v>330.72</v>
      </c>
      <c r="F349">
        <v>269.24</v>
      </c>
      <c r="G349">
        <v>197.16</v>
      </c>
      <c r="H349">
        <v>155.82</v>
      </c>
      <c r="I349">
        <v>128.26</v>
      </c>
      <c r="J349">
        <v>109.18</v>
      </c>
      <c r="K349">
        <v>74.2</v>
      </c>
      <c r="L349">
        <v>57.78</v>
      </c>
      <c r="M349">
        <v>39.590000000000003</v>
      </c>
    </row>
    <row r="350" spans="1:13" x14ac:dyDescent="0.2">
      <c r="B350">
        <v>0.01</v>
      </c>
      <c r="C350">
        <v>632.20000000000005</v>
      </c>
      <c r="D350">
        <v>444.4</v>
      </c>
      <c r="E350">
        <v>346.32</v>
      </c>
      <c r="F350">
        <v>281.94</v>
      </c>
      <c r="G350">
        <v>206.46</v>
      </c>
      <c r="H350">
        <v>164.64</v>
      </c>
      <c r="I350">
        <v>135.52000000000001</v>
      </c>
      <c r="J350">
        <v>115.36</v>
      </c>
      <c r="K350">
        <v>79.099999999999994</v>
      </c>
      <c r="L350">
        <v>61.02</v>
      </c>
      <c r="M350">
        <v>41</v>
      </c>
    </row>
    <row r="351" spans="1:13" x14ac:dyDescent="0.2">
      <c r="A351">
        <v>36</v>
      </c>
      <c r="B351" t="s">
        <v>151</v>
      </c>
      <c r="E351" t="s">
        <v>117</v>
      </c>
    </row>
    <row r="352" spans="1:13" x14ac:dyDescent="0.2">
      <c r="B352" t="s">
        <v>52</v>
      </c>
      <c r="C352">
        <v>5</v>
      </c>
      <c r="D352">
        <v>10</v>
      </c>
      <c r="E352">
        <v>15</v>
      </c>
      <c r="F352">
        <v>20</v>
      </c>
      <c r="G352">
        <v>30</v>
      </c>
      <c r="H352">
        <v>40</v>
      </c>
      <c r="I352">
        <v>50</v>
      </c>
      <c r="J352">
        <v>60</v>
      </c>
      <c r="K352">
        <v>90</v>
      </c>
      <c r="L352">
        <v>120</v>
      </c>
      <c r="M352">
        <v>180</v>
      </c>
    </row>
    <row r="353" spans="1:13" x14ac:dyDescent="0.2">
      <c r="B353">
        <v>1</v>
      </c>
      <c r="C353">
        <v>231</v>
      </c>
      <c r="D353">
        <v>157</v>
      </c>
      <c r="E353">
        <v>122</v>
      </c>
      <c r="F353">
        <v>100</v>
      </c>
      <c r="G353">
        <v>76</v>
      </c>
      <c r="H353">
        <v>62</v>
      </c>
      <c r="I353">
        <v>52</v>
      </c>
      <c r="J353">
        <v>45</v>
      </c>
      <c r="K353">
        <v>32</v>
      </c>
      <c r="L353">
        <v>25</v>
      </c>
      <c r="M353">
        <v>17</v>
      </c>
    </row>
    <row r="354" spans="1:13" x14ac:dyDescent="0.2">
      <c r="B354">
        <v>0.5</v>
      </c>
      <c r="C354">
        <v>278</v>
      </c>
      <c r="D354">
        <v>197</v>
      </c>
      <c r="E354">
        <v>155</v>
      </c>
      <c r="F354">
        <v>128</v>
      </c>
      <c r="G354">
        <v>96</v>
      </c>
      <c r="H354">
        <v>78</v>
      </c>
      <c r="I354">
        <v>66</v>
      </c>
      <c r="J354">
        <v>57</v>
      </c>
      <c r="K354">
        <v>41</v>
      </c>
      <c r="L354">
        <v>32</v>
      </c>
      <c r="M354">
        <v>22</v>
      </c>
    </row>
    <row r="355" spans="1:13" x14ac:dyDescent="0.2">
      <c r="B355">
        <v>0.2</v>
      </c>
      <c r="C355">
        <v>345</v>
      </c>
      <c r="D355">
        <v>250</v>
      </c>
      <c r="E355">
        <v>198</v>
      </c>
      <c r="F355">
        <v>165</v>
      </c>
      <c r="G355">
        <v>125</v>
      </c>
      <c r="H355">
        <v>100</v>
      </c>
      <c r="I355">
        <v>84</v>
      </c>
      <c r="J355">
        <v>73</v>
      </c>
      <c r="K355">
        <v>52</v>
      </c>
      <c r="L355">
        <v>40</v>
      </c>
      <c r="M355">
        <v>28</v>
      </c>
    </row>
    <row r="356" spans="1:13" x14ac:dyDescent="0.2">
      <c r="B356">
        <v>0.1</v>
      </c>
      <c r="C356">
        <v>393</v>
      </c>
      <c r="D356">
        <v>287</v>
      </c>
      <c r="E356">
        <v>230</v>
      </c>
      <c r="F356">
        <v>192</v>
      </c>
      <c r="G356">
        <v>147</v>
      </c>
      <c r="H356">
        <v>118</v>
      </c>
      <c r="I356">
        <v>98</v>
      </c>
      <c r="J356">
        <v>85</v>
      </c>
      <c r="K356">
        <v>61</v>
      </c>
      <c r="L356">
        <v>48</v>
      </c>
      <c r="M356">
        <v>33</v>
      </c>
    </row>
    <row r="357" spans="1:13" x14ac:dyDescent="0.2">
      <c r="B357">
        <v>0.05</v>
      </c>
      <c r="C357">
        <v>430</v>
      </c>
      <c r="D357">
        <v>320</v>
      </c>
      <c r="E357">
        <v>260</v>
      </c>
      <c r="F357">
        <v>220</v>
      </c>
      <c r="G357">
        <v>168</v>
      </c>
      <c r="H357">
        <v>135</v>
      </c>
      <c r="I357">
        <v>113</v>
      </c>
      <c r="J357">
        <v>96</v>
      </c>
      <c r="K357">
        <v>69</v>
      </c>
      <c r="L357">
        <v>54</v>
      </c>
      <c r="M357">
        <v>37</v>
      </c>
    </row>
    <row r="358" spans="1:13" x14ac:dyDescent="0.2">
      <c r="B358">
        <v>3.3000000000000002E-2</v>
      </c>
      <c r="C358">
        <v>453</v>
      </c>
      <c r="D358">
        <v>339</v>
      </c>
      <c r="E358">
        <v>276</v>
      </c>
      <c r="F358">
        <v>233</v>
      </c>
      <c r="G358">
        <v>180</v>
      </c>
      <c r="H358">
        <v>147</v>
      </c>
      <c r="I358">
        <v>123</v>
      </c>
      <c r="J358">
        <v>106</v>
      </c>
      <c r="K358">
        <v>75</v>
      </c>
      <c r="L358">
        <v>58</v>
      </c>
      <c r="M358">
        <v>40</v>
      </c>
    </row>
    <row r="359" spans="1:13" x14ac:dyDescent="0.2">
      <c r="B359">
        <v>0.02</v>
      </c>
      <c r="C359">
        <v>471.12</v>
      </c>
      <c r="D359">
        <v>355.95</v>
      </c>
      <c r="E359">
        <v>292.56</v>
      </c>
      <c r="F359">
        <v>246.98</v>
      </c>
      <c r="G359">
        <v>190.8</v>
      </c>
      <c r="H359">
        <v>155.82</v>
      </c>
      <c r="I359">
        <v>130.38</v>
      </c>
      <c r="J359">
        <v>112.36</v>
      </c>
      <c r="K359">
        <v>79.5</v>
      </c>
      <c r="L359">
        <v>62.06</v>
      </c>
      <c r="M359">
        <v>42.8</v>
      </c>
    </row>
    <row r="360" spans="1:13" x14ac:dyDescent="0.2">
      <c r="B360">
        <v>0.01</v>
      </c>
      <c r="C360">
        <v>493.77</v>
      </c>
      <c r="D360">
        <v>372.9</v>
      </c>
      <c r="E360">
        <v>306.36</v>
      </c>
      <c r="F360">
        <v>258.63</v>
      </c>
      <c r="G360">
        <v>199.8</v>
      </c>
      <c r="H360">
        <v>164.64</v>
      </c>
      <c r="I360">
        <v>137.76</v>
      </c>
      <c r="J360">
        <v>118.72</v>
      </c>
      <c r="K360">
        <v>84.75</v>
      </c>
      <c r="L360">
        <v>65.540000000000006</v>
      </c>
      <c r="M360">
        <v>45.6</v>
      </c>
    </row>
    <row r="361" spans="1:13" x14ac:dyDescent="0.2">
      <c r="A361">
        <v>37</v>
      </c>
      <c r="B361" t="s">
        <v>152</v>
      </c>
      <c r="E361" t="s">
        <v>117</v>
      </c>
    </row>
    <row r="362" spans="1:13" x14ac:dyDescent="0.2">
      <c r="B362" t="s">
        <v>52</v>
      </c>
      <c r="C362">
        <v>5</v>
      </c>
      <c r="D362">
        <v>10</v>
      </c>
      <c r="E362">
        <v>15</v>
      </c>
      <c r="F362">
        <v>20</v>
      </c>
      <c r="G362">
        <v>30</v>
      </c>
      <c r="H362">
        <v>40</v>
      </c>
      <c r="I362">
        <v>50</v>
      </c>
      <c r="J362">
        <v>60</v>
      </c>
      <c r="K362">
        <v>90</v>
      </c>
      <c r="L362">
        <v>120</v>
      </c>
      <c r="M362">
        <v>180</v>
      </c>
    </row>
    <row r="363" spans="1:13" x14ac:dyDescent="0.2">
      <c r="B363">
        <v>1</v>
      </c>
      <c r="C363">
        <v>237</v>
      </c>
      <c r="D363">
        <v>166</v>
      </c>
      <c r="E363">
        <v>127</v>
      </c>
      <c r="F363">
        <v>104</v>
      </c>
      <c r="G363">
        <v>78</v>
      </c>
      <c r="H363">
        <v>63</v>
      </c>
      <c r="I363">
        <v>53</v>
      </c>
      <c r="J363">
        <v>45</v>
      </c>
      <c r="K363">
        <v>32</v>
      </c>
      <c r="L363">
        <v>25</v>
      </c>
      <c r="M363">
        <v>17</v>
      </c>
    </row>
    <row r="364" spans="1:13" x14ac:dyDescent="0.2">
      <c r="B364">
        <v>0.5</v>
      </c>
      <c r="C364">
        <v>292</v>
      </c>
      <c r="D364">
        <v>205</v>
      </c>
      <c r="E364">
        <v>158</v>
      </c>
      <c r="F364">
        <v>130</v>
      </c>
      <c r="G364">
        <v>97</v>
      </c>
      <c r="H364">
        <v>78</v>
      </c>
      <c r="I364">
        <v>65</v>
      </c>
      <c r="J364">
        <v>56</v>
      </c>
      <c r="K364">
        <v>40</v>
      </c>
      <c r="L364">
        <v>31</v>
      </c>
      <c r="M364">
        <v>21</v>
      </c>
    </row>
    <row r="365" spans="1:13" x14ac:dyDescent="0.2">
      <c r="B365">
        <v>0.2</v>
      </c>
      <c r="C365">
        <v>353</v>
      </c>
      <c r="D365">
        <v>254</v>
      </c>
      <c r="E365">
        <v>197</v>
      </c>
      <c r="F365">
        <v>160</v>
      </c>
      <c r="G365">
        <v>120</v>
      </c>
      <c r="H365">
        <v>96</v>
      </c>
      <c r="I365">
        <v>80</v>
      </c>
      <c r="J365">
        <v>69</v>
      </c>
      <c r="K365">
        <v>49</v>
      </c>
      <c r="L365">
        <v>38</v>
      </c>
      <c r="M365">
        <v>26</v>
      </c>
    </row>
    <row r="366" spans="1:13" x14ac:dyDescent="0.2">
      <c r="B366">
        <v>0.1</v>
      </c>
      <c r="C366">
        <v>400</v>
      </c>
      <c r="D366">
        <v>290</v>
      </c>
      <c r="E366">
        <v>225</v>
      </c>
      <c r="F366">
        <v>183</v>
      </c>
      <c r="G366">
        <v>136</v>
      </c>
      <c r="H366">
        <v>108</v>
      </c>
      <c r="I366">
        <v>90</v>
      </c>
      <c r="J366">
        <v>77</v>
      </c>
      <c r="K366">
        <v>54</v>
      </c>
      <c r="L366">
        <v>42</v>
      </c>
      <c r="M366">
        <v>29</v>
      </c>
    </row>
    <row r="367" spans="1:13" x14ac:dyDescent="0.2">
      <c r="B367">
        <v>0.05</v>
      </c>
      <c r="C367">
        <v>454</v>
      </c>
      <c r="D367">
        <v>312</v>
      </c>
      <c r="E367">
        <v>242</v>
      </c>
      <c r="F367">
        <v>199</v>
      </c>
      <c r="G367">
        <v>148</v>
      </c>
      <c r="H367">
        <v>120</v>
      </c>
      <c r="I367">
        <v>99</v>
      </c>
      <c r="J367">
        <v>86</v>
      </c>
      <c r="K367">
        <v>60</v>
      </c>
      <c r="L367">
        <v>47</v>
      </c>
      <c r="M367">
        <v>32</v>
      </c>
    </row>
    <row r="368" spans="1:13" x14ac:dyDescent="0.2">
      <c r="B368">
        <v>3.3000000000000002E-2</v>
      </c>
      <c r="C368">
        <v>486</v>
      </c>
      <c r="D368">
        <v>334</v>
      </c>
      <c r="E368">
        <v>260</v>
      </c>
      <c r="F368">
        <v>214</v>
      </c>
      <c r="G368">
        <v>160</v>
      </c>
      <c r="H368">
        <v>129</v>
      </c>
      <c r="I368">
        <v>108</v>
      </c>
      <c r="J368">
        <v>93</v>
      </c>
      <c r="K368">
        <v>66</v>
      </c>
      <c r="L368">
        <v>51</v>
      </c>
      <c r="M368">
        <v>36</v>
      </c>
    </row>
    <row r="369" spans="1:13" x14ac:dyDescent="0.2">
      <c r="B369">
        <v>0.02</v>
      </c>
      <c r="C369">
        <v>508</v>
      </c>
      <c r="D369">
        <v>354</v>
      </c>
      <c r="E369">
        <v>276</v>
      </c>
      <c r="F369">
        <v>228</v>
      </c>
      <c r="G369">
        <v>170</v>
      </c>
      <c r="H369">
        <v>138</v>
      </c>
      <c r="I369">
        <v>115</v>
      </c>
      <c r="J369">
        <v>98</v>
      </c>
      <c r="K369">
        <v>70</v>
      </c>
      <c r="L369">
        <v>55</v>
      </c>
      <c r="M369">
        <v>38</v>
      </c>
    </row>
    <row r="370" spans="1:13" x14ac:dyDescent="0.2">
      <c r="B370">
        <v>0.01</v>
      </c>
      <c r="C370">
        <v>533.4</v>
      </c>
      <c r="D370">
        <v>371.7</v>
      </c>
      <c r="E370">
        <v>289.8</v>
      </c>
      <c r="F370">
        <v>239.4</v>
      </c>
      <c r="G370">
        <v>178.5</v>
      </c>
      <c r="H370">
        <v>144.9</v>
      </c>
      <c r="I370">
        <v>120.75</v>
      </c>
      <c r="J370">
        <v>103.88</v>
      </c>
      <c r="K370">
        <v>74.2</v>
      </c>
      <c r="L370">
        <v>58.3</v>
      </c>
      <c r="M370">
        <v>40.659999999999997</v>
      </c>
    </row>
    <row r="371" spans="1:13" x14ac:dyDescent="0.2">
      <c r="A371">
        <v>38</v>
      </c>
      <c r="B371" t="s">
        <v>153</v>
      </c>
      <c r="E371" t="s">
        <v>117</v>
      </c>
    </row>
    <row r="372" spans="1:13" x14ac:dyDescent="0.2">
      <c r="B372" t="s">
        <v>52</v>
      </c>
      <c r="C372">
        <v>5</v>
      </c>
      <c r="D372">
        <v>10</v>
      </c>
      <c r="E372">
        <v>15</v>
      </c>
      <c r="F372">
        <v>20</v>
      </c>
      <c r="G372">
        <v>30</v>
      </c>
      <c r="H372">
        <v>40</v>
      </c>
      <c r="I372">
        <v>50</v>
      </c>
      <c r="J372">
        <v>60</v>
      </c>
      <c r="K372">
        <v>90</v>
      </c>
      <c r="L372">
        <v>120</v>
      </c>
      <c r="M372">
        <v>180</v>
      </c>
    </row>
    <row r="373" spans="1:13" x14ac:dyDescent="0.2">
      <c r="B373">
        <v>1</v>
      </c>
      <c r="C373">
        <v>267</v>
      </c>
      <c r="D373">
        <v>178</v>
      </c>
      <c r="E373">
        <v>138</v>
      </c>
      <c r="F373">
        <v>114</v>
      </c>
      <c r="G373">
        <v>85</v>
      </c>
      <c r="H373">
        <v>70</v>
      </c>
      <c r="I373">
        <v>58</v>
      </c>
      <c r="J373">
        <v>51</v>
      </c>
      <c r="K373">
        <v>36</v>
      </c>
      <c r="L373">
        <v>28</v>
      </c>
      <c r="M373">
        <v>20</v>
      </c>
    </row>
    <row r="374" spans="1:13" x14ac:dyDescent="0.2">
      <c r="B374">
        <v>0.5</v>
      </c>
      <c r="C374">
        <v>311</v>
      </c>
      <c r="D374">
        <v>211</v>
      </c>
      <c r="E374">
        <v>163</v>
      </c>
      <c r="F374">
        <v>135</v>
      </c>
      <c r="G374">
        <v>100</v>
      </c>
      <c r="H374">
        <v>83</v>
      </c>
      <c r="I374">
        <v>70</v>
      </c>
      <c r="J374">
        <v>60</v>
      </c>
      <c r="K374">
        <v>44</v>
      </c>
      <c r="L374">
        <v>34</v>
      </c>
      <c r="M374">
        <v>24</v>
      </c>
    </row>
    <row r="375" spans="1:13" x14ac:dyDescent="0.2">
      <c r="B375">
        <v>0.2</v>
      </c>
      <c r="C375">
        <v>382</v>
      </c>
      <c r="D375">
        <v>254</v>
      </c>
      <c r="E375">
        <v>198</v>
      </c>
      <c r="F375">
        <v>163</v>
      </c>
      <c r="G375">
        <v>122</v>
      </c>
      <c r="H375">
        <v>98</v>
      </c>
      <c r="I375">
        <v>83</v>
      </c>
      <c r="J375">
        <v>72</v>
      </c>
      <c r="K375">
        <v>52</v>
      </c>
      <c r="L375">
        <v>40</v>
      </c>
      <c r="M375">
        <v>28</v>
      </c>
    </row>
    <row r="376" spans="1:13" x14ac:dyDescent="0.2">
      <c r="B376">
        <v>0.1</v>
      </c>
      <c r="C376">
        <v>430</v>
      </c>
      <c r="D376">
        <v>286</v>
      </c>
      <c r="E376">
        <v>221</v>
      </c>
      <c r="F376">
        <v>182</v>
      </c>
      <c r="G376">
        <v>137</v>
      </c>
      <c r="H376">
        <v>111</v>
      </c>
      <c r="I376">
        <v>92</v>
      </c>
      <c r="J376">
        <v>80</v>
      </c>
      <c r="K376">
        <v>57</v>
      </c>
      <c r="L376">
        <v>45</v>
      </c>
      <c r="M376">
        <v>31</v>
      </c>
    </row>
    <row r="377" spans="1:13" x14ac:dyDescent="0.2">
      <c r="B377">
        <v>0.05</v>
      </c>
      <c r="C377">
        <v>470</v>
      </c>
      <c r="D377">
        <v>313</v>
      </c>
      <c r="E377">
        <v>243</v>
      </c>
      <c r="F377">
        <v>200</v>
      </c>
      <c r="G377">
        <v>150</v>
      </c>
      <c r="H377">
        <v>121</v>
      </c>
      <c r="I377">
        <v>100</v>
      </c>
      <c r="J377">
        <v>88</v>
      </c>
      <c r="K377">
        <v>63</v>
      </c>
      <c r="L377">
        <v>49</v>
      </c>
      <c r="M377">
        <v>34</v>
      </c>
    </row>
    <row r="378" spans="1:13" x14ac:dyDescent="0.2">
      <c r="B378">
        <v>3.3000000000000002E-2</v>
      </c>
      <c r="C378">
        <v>493</v>
      </c>
      <c r="D378">
        <v>331</v>
      </c>
      <c r="E378">
        <v>257</v>
      </c>
      <c r="F378">
        <v>210</v>
      </c>
      <c r="G378">
        <v>158</v>
      </c>
      <c r="H378">
        <v>128</v>
      </c>
      <c r="I378">
        <v>108</v>
      </c>
      <c r="J378">
        <v>93</v>
      </c>
      <c r="K378">
        <v>67</v>
      </c>
      <c r="L378">
        <v>52</v>
      </c>
      <c r="M378">
        <v>36</v>
      </c>
    </row>
    <row r="379" spans="1:13" x14ac:dyDescent="0.2">
      <c r="B379">
        <v>0.02</v>
      </c>
      <c r="C379">
        <v>512.72</v>
      </c>
      <c r="D379">
        <v>347.55</v>
      </c>
      <c r="E379">
        <v>272.42</v>
      </c>
      <c r="F379">
        <v>222.6</v>
      </c>
      <c r="G379">
        <v>167.48</v>
      </c>
      <c r="H379">
        <v>135.68</v>
      </c>
      <c r="I379">
        <v>114.48</v>
      </c>
      <c r="J379">
        <v>98.58</v>
      </c>
      <c r="K379">
        <v>71.02</v>
      </c>
      <c r="L379">
        <v>55.64</v>
      </c>
      <c r="M379">
        <v>38.520000000000003</v>
      </c>
    </row>
    <row r="380" spans="1:13" x14ac:dyDescent="0.2">
      <c r="B380">
        <v>0.01</v>
      </c>
      <c r="C380">
        <v>537.37</v>
      </c>
      <c r="D380">
        <v>364.1</v>
      </c>
      <c r="E380">
        <v>285.27</v>
      </c>
      <c r="F380">
        <v>233.1</v>
      </c>
      <c r="G380">
        <v>175.38</v>
      </c>
      <c r="H380">
        <v>143.36000000000001</v>
      </c>
      <c r="I380">
        <v>120.96</v>
      </c>
      <c r="J380">
        <v>104.16</v>
      </c>
      <c r="K380">
        <v>75.709999999999994</v>
      </c>
      <c r="L380">
        <v>58.76</v>
      </c>
      <c r="M380">
        <v>41.04</v>
      </c>
    </row>
    <row r="381" spans="1:13" x14ac:dyDescent="0.2">
      <c r="A381">
        <v>39</v>
      </c>
      <c r="B381" t="s">
        <v>154</v>
      </c>
      <c r="E381" t="s">
        <v>117</v>
      </c>
    </row>
    <row r="382" spans="1:13" x14ac:dyDescent="0.2">
      <c r="B382" t="s">
        <v>52</v>
      </c>
      <c r="C382">
        <v>5</v>
      </c>
      <c r="D382">
        <v>10</v>
      </c>
      <c r="E382">
        <v>15</v>
      </c>
      <c r="F382">
        <v>20</v>
      </c>
      <c r="G382">
        <v>30</v>
      </c>
      <c r="H382">
        <v>40</v>
      </c>
      <c r="I382">
        <v>50</v>
      </c>
      <c r="J382">
        <v>60</v>
      </c>
      <c r="K382">
        <v>90</v>
      </c>
      <c r="L382">
        <v>120</v>
      </c>
      <c r="M382">
        <v>180</v>
      </c>
    </row>
    <row r="383" spans="1:13" x14ac:dyDescent="0.2">
      <c r="B383">
        <v>1</v>
      </c>
      <c r="C383">
        <v>250</v>
      </c>
      <c r="D383">
        <v>172</v>
      </c>
      <c r="E383">
        <v>133</v>
      </c>
      <c r="F383">
        <v>110</v>
      </c>
      <c r="G383">
        <v>80</v>
      </c>
      <c r="H383">
        <v>64</v>
      </c>
      <c r="I383">
        <v>54</v>
      </c>
      <c r="J383">
        <v>46</v>
      </c>
      <c r="K383">
        <v>32</v>
      </c>
      <c r="L383">
        <v>24</v>
      </c>
      <c r="M383">
        <v>16</v>
      </c>
    </row>
    <row r="384" spans="1:13" x14ac:dyDescent="0.2">
      <c r="B384">
        <v>0.5</v>
      </c>
      <c r="C384">
        <v>301</v>
      </c>
      <c r="D384">
        <v>211</v>
      </c>
      <c r="E384">
        <v>163</v>
      </c>
      <c r="F384">
        <v>135</v>
      </c>
      <c r="G384">
        <v>100</v>
      </c>
      <c r="H384">
        <v>80</v>
      </c>
      <c r="I384">
        <v>66</v>
      </c>
      <c r="J384">
        <v>57</v>
      </c>
      <c r="K384">
        <v>40</v>
      </c>
      <c r="L384">
        <v>31</v>
      </c>
      <c r="M384">
        <v>21</v>
      </c>
    </row>
    <row r="385" spans="1:13" x14ac:dyDescent="0.2">
      <c r="B385">
        <v>0.2</v>
      </c>
      <c r="C385">
        <v>366</v>
      </c>
      <c r="D385">
        <v>261</v>
      </c>
      <c r="E385">
        <v>204</v>
      </c>
      <c r="F385">
        <v>170</v>
      </c>
      <c r="G385">
        <v>128</v>
      </c>
      <c r="H385">
        <v>102</v>
      </c>
      <c r="I385">
        <v>85</v>
      </c>
      <c r="J385">
        <v>74</v>
      </c>
      <c r="K385">
        <v>52</v>
      </c>
      <c r="L385">
        <v>41</v>
      </c>
      <c r="M385">
        <v>28</v>
      </c>
    </row>
    <row r="386" spans="1:13" x14ac:dyDescent="0.2">
      <c r="B386">
        <v>0.1</v>
      </c>
      <c r="C386">
        <v>420</v>
      </c>
      <c r="D386">
        <v>300</v>
      </c>
      <c r="E386">
        <v>240</v>
      </c>
      <c r="F386">
        <v>198</v>
      </c>
      <c r="G386">
        <v>150</v>
      </c>
      <c r="H386">
        <v>122</v>
      </c>
      <c r="I386">
        <v>102</v>
      </c>
      <c r="J386">
        <v>88</v>
      </c>
      <c r="K386">
        <v>64</v>
      </c>
      <c r="L386">
        <v>50</v>
      </c>
      <c r="M386">
        <v>34</v>
      </c>
    </row>
    <row r="387" spans="1:13" x14ac:dyDescent="0.2">
      <c r="B387">
        <v>0.05</v>
      </c>
      <c r="C387">
        <v>467</v>
      </c>
      <c r="D387">
        <v>340</v>
      </c>
      <c r="E387">
        <v>270</v>
      </c>
      <c r="F387">
        <v>225</v>
      </c>
      <c r="G387">
        <v>172</v>
      </c>
      <c r="H387">
        <v>140</v>
      </c>
      <c r="I387">
        <v>118</v>
      </c>
      <c r="J387">
        <v>102</v>
      </c>
      <c r="K387">
        <v>74</v>
      </c>
      <c r="L387">
        <v>58</v>
      </c>
      <c r="M387">
        <v>41</v>
      </c>
    </row>
    <row r="388" spans="1:13" x14ac:dyDescent="0.2">
      <c r="B388">
        <v>3.3000000000000002E-2</v>
      </c>
      <c r="C388">
        <v>496</v>
      </c>
      <c r="D388">
        <v>365</v>
      </c>
      <c r="E388">
        <v>291</v>
      </c>
      <c r="F388">
        <v>245</v>
      </c>
      <c r="G388">
        <v>187</v>
      </c>
      <c r="H388">
        <v>152</v>
      </c>
      <c r="I388">
        <v>128</v>
      </c>
      <c r="J388">
        <v>112</v>
      </c>
      <c r="K388">
        <v>80</v>
      </c>
      <c r="L388">
        <v>63</v>
      </c>
      <c r="M388">
        <v>45</v>
      </c>
    </row>
    <row r="389" spans="1:13" x14ac:dyDescent="0.2">
      <c r="B389">
        <v>0.02</v>
      </c>
      <c r="C389">
        <v>515.84</v>
      </c>
      <c r="D389">
        <v>383.25</v>
      </c>
      <c r="E389">
        <v>308.45999999999998</v>
      </c>
      <c r="F389">
        <v>259.7</v>
      </c>
      <c r="G389">
        <v>198.22</v>
      </c>
      <c r="H389">
        <v>161.12</v>
      </c>
      <c r="I389">
        <v>135.68</v>
      </c>
      <c r="J389">
        <v>118.72</v>
      </c>
      <c r="K389">
        <v>84.8</v>
      </c>
      <c r="L389">
        <v>67.41</v>
      </c>
      <c r="M389">
        <v>48.15</v>
      </c>
    </row>
    <row r="390" spans="1:13" x14ac:dyDescent="0.2">
      <c r="B390">
        <v>0.01</v>
      </c>
      <c r="C390">
        <v>540.64</v>
      </c>
      <c r="D390">
        <v>401.5</v>
      </c>
      <c r="E390">
        <v>323.01</v>
      </c>
      <c r="F390">
        <v>271.95</v>
      </c>
      <c r="G390">
        <v>207.57</v>
      </c>
      <c r="H390">
        <v>170.24</v>
      </c>
      <c r="I390">
        <v>143.36000000000001</v>
      </c>
      <c r="J390">
        <v>125.44</v>
      </c>
      <c r="K390">
        <v>90.4</v>
      </c>
      <c r="L390">
        <v>71.19</v>
      </c>
      <c r="M390">
        <v>51.3</v>
      </c>
    </row>
    <row r="391" spans="1:13" x14ac:dyDescent="0.2">
      <c r="A391">
        <v>40</v>
      </c>
      <c r="B391" t="s">
        <v>155</v>
      </c>
      <c r="E391" t="s">
        <v>117</v>
      </c>
    </row>
    <row r="392" spans="1:13" x14ac:dyDescent="0.2">
      <c r="B392" t="s">
        <v>52</v>
      </c>
      <c r="C392">
        <v>5</v>
      </c>
      <c r="D392">
        <v>10</v>
      </c>
      <c r="E392">
        <v>15</v>
      </c>
      <c r="F392">
        <v>20</v>
      </c>
      <c r="G392">
        <v>30</v>
      </c>
      <c r="H392">
        <v>40</v>
      </c>
      <c r="I392">
        <v>50</v>
      </c>
      <c r="J392">
        <v>60</v>
      </c>
      <c r="K392">
        <v>90</v>
      </c>
      <c r="L392">
        <v>120</v>
      </c>
      <c r="M392">
        <v>180</v>
      </c>
    </row>
    <row r="393" spans="1:13" x14ac:dyDescent="0.2">
      <c r="B393">
        <v>1</v>
      </c>
      <c r="C393">
        <v>250</v>
      </c>
      <c r="D393">
        <v>169</v>
      </c>
      <c r="E393">
        <v>132</v>
      </c>
      <c r="F393">
        <v>108</v>
      </c>
      <c r="G393">
        <v>81</v>
      </c>
      <c r="H393">
        <v>65</v>
      </c>
      <c r="I393">
        <v>55</v>
      </c>
      <c r="J393">
        <v>47</v>
      </c>
      <c r="K393">
        <v>34</v>
      </c>
      <c r="L393">
        <v>26</v>
      </c>
      <c r="M393">
        <v>18</v>
      </c>
    </row>
    <row r="394" spans="1:13" x14ac:dyDescent="0.2">
      <c r="B394">
        <v>0.5</v>
      </c>
      <c r="C394">
        <v>306</v>
      </c>
      <c r="D394">
        <v>209</v>
      </c>
      <c r="E394">
        <v>162</v>
      </c>
      <c r="F394">
        <v>134</v>
      </c>
      <c r="G394">
        <v>101</v>
      </c>
      <c r="H394">
        <v>82</v>
      </c>
      <c r="I394">
        <v>69</v>
      </c>
      <c r="J394">
        <v>60</v>
      </c>
      <c r="K394">
        <v>43</v>
      </c>
      <c r="L394">
        <v>34</v>
      </c>
      <c r="M394">
        <v>23</v>
      </c>
    </row>
    <row r="395" spans="1:13" x14ac:dyDescent="0.2">
      <c r="B395">
        <v>0.2</v>
      </c>
      <c r="C395">
        <v>370</v>
      </c>
      <c r="D395">
        <v>264</v>
      </c>
      <c r="E395">
        <v>207</v>
      </c>
      <c r="F395">
        <v>172</v>
      </c>
      <c r="G395">
        <v>130</v>
      </c>
      <c r="H395">
        <v>106</v>
      </c>
      <c r="I395">
        <v>89</v>
      </c>
      <c r="J395">
        <v>77</v>
      </c>
      <c r="K395">
        <v>55</v>
      </c>
      <c r="L395">
        <v>43</v>
      </c>
      <c r="M395">
        <v>30</v>
      </c>
    </row>
    <row r="396" spans="1:13" x14ac:dyDescent="0.2">
      <c r="B396">
        <v>0.1</v>
      </c>
      <c r="C396">
        <v>426</v>
      </c>
      <c r="D396">
        <v>300</v>
      </c>
      <c r="E396">
        <v>240</v>
      </c>
      <c r="F396">
        <v>200</v>
      </c>
      <c r="G396">
        <v>152</v>
      </c>
      <c r="H396">
        <v>123</v>
      </c>
      <c r="I396">
        <v>103</v>
      </c>
      <c r="J396">
        <v>90</v>
      </c>
      <c r="K396">
        <v>65</v>
      </c>
      <c r="L396">
        <v>50</v>
      </c>
      <c r="M396">
        <v>35</v>
      </c>
    </row>
    <row r="397" spans="1:13" x14ac:dyDescent="0.2">
      <c r="B397">
        <v>0.05</v>
      </c>
      <c r="C397">
        <v>470</v>
      </c>
      <c r="D397">
        <v>338</v>
      </c>
      <c r="E397">
        <v>268</v>
      </c>
      <c r="F397">
        <v>225</v>
      </c>
      <c r="G397">
        <v>170</v>
      </c>
      <c r="H397">
        <v>139</v>
      </c>
      <c r="I397">
        <v>117</v>
      </c>
      <c r="J397">
        <v>102</v>
      </c>
      <c r="K397">
        <v>73</v>
      </c>
      <c r="L397">
        <v>57</v>
      </c>
      <c r="M397">
        <v>40</v>
      </c>
    </row>
    <row r="398" spans="1:13" x14ac:dyDescent="0.2">
      <c r="B398">
        <v>3.3000000000000002E-2</v>
      </c>
      <c r="C398">
        <v>500</v>
      </c>
      <c r="D398">
        <v>365</v>
      </c>
      <c r="E398">
        <v>292</v>
      </c>
      <c r="F398">
        <v>244</v>
      </c>
      <c r="G398">
        <v>186</v>
      </c>
      <c r="H398">
        <v>150</v>
      </c>
      <c r="I398">
        <v>127</v>
      </c>
      <c r="J398">
        <v>110</v>
      </c>
      <c r="K398">
        <v>79</v>
      </c>
      <c r="L398">
        <v>62</v>
      </c>
      <c r="M398">
        <v>43</v>
      </c>
    </row>
    <row r="399" spans="1:13" x14ac:dyDescent="0.2">
      <c r="B399">
        <v>0.02</v>
      </c>
      <c r="C399">
        <v>520</v>
      </c>
      <c r="D399">
        <v>383.25</v>
      </c>
      <c r="E399">
        <v>309.52</v>
      </c>
      <c r="F399">
        <v>258.64</v>
      </c>
      <c r="G399">
        <v>197.16</v>
      </c>
      <c r="H399">
        <v>159</v>
      </c>
      <c r="I399">
        <v>134.62</v>
      </c>
      <c r="J399">
        <v>116.6</v>
      </c>
      <c r="K399">
        <v>83.74</v>
      </c>
      <c r="L399">
        <v>66.34</v>
      </c>
      <c r="M399">
        <v>46.01</v>
      </c>
    </row>
    <row r="400" spans="1:13" x14ac:dyDescent="0.2">
      <c r="B400">
        <v>0.01</v>
      </c>
      <c r="C400">
        <v>545</v>
      </c>
      <c r="D400">
        <v>401.5</v>
      </c>
      <c r="E400">
        <v>324.12</v>
      </c>
      <c r="F400">
        <v>270.83999999999997</v>
      </c>
      <c r="G400">
        <v>206.46</v>
      </c>
      <c r="H400">
        <v>168</v>
      </c>
      <c r="I400">
        <v>142.24</v>
      </c>
      <c r="J400">
        <v>123.2</v>
      </c>
      <c r="K400">
        <v>89.27</v>
      </c>
      <c r="L400">
        <v>70.06</v>
      </c>
      <c r="M400">
        <v>49.02</v>
      </c>
    </row>
    <row r="401" spans="1:13" x14ac:dyDescent="0.2">
      <c r="A401">
        <v>41</v>
      </c>
      <c r="B401" t="s">
        <v>156</v>
      </c>
      <c r="E401" t="s">
        <v>117</v>
      </c>
    </row>
    <row r="402" spans="1:13" x14ac:dyDescent="0.2">
      <c r="B402" t="s">
        <v>52</v>
      </c>
      <c r="C402">
        <v>5</v>
      </c>
      <c r="D402">
        <v>10</v>
      </c>
      <c r="E402">
        <v>15</v>
      </c>
      <c r="F402">
        <v>20</v>
      </c>
      <c r="G402">
        <v>30</v>
      </c>
      <c r="H402">
        <v>40</v>
      </c>
      <c r="I402">
        <v>50</v>
      </c>
      <c r="J402">
        <v>60</v>
      </c>
      <c r="K402">
        <v>90</v>
      </c>
      <c r="L402">
        <v>120</v>
      </c>
      <c r="M402">
        <v>180</v>
      </c>
    </row>
    <row r="403" spans="1:13" x14ac:dyDescent="0.2">
      <c r="B403">
        <v>1</v>
      </c>
      <c r="C403">
        <v>225</v>
      </c>
      <c r="D403">
        <v>152</v>
      </c>
      <c r="E403">
        <v>120</v>
      </c>
      <c r="F403">
        <v>99</v>
      </c>
      <c r="G403">
        <v>76</v>
      </c>
      <c r="H403">
        <v>62</v>
      </c>
      <c r="I403">
        <v>52</v>
      </c>
      <c r="J403">
        <v>46</v>
      </c>
      <c r="K403">
        <v>33</v>
      </c>
      <c r="L403">
        <v>26</v>
      </c>
      <c r="M403">
        <v>18</v>
      </c>
    </row>
    <row r="404" spans="1:13" x14ac:dyDescent="0.2">
      <c r="B404">
        <v>0.5</v>
      </c>
      <c r="C404">
        <v>274</v>
      </c>
      <c r="D404">
        <v>188</v>
      </c>
      <c r="E404">
        <v>147</v>
      </c>
      <c r="F404">
        <v>123</v>
      </c>
      <c r="G404">
        <v>94</v>
      </c>
      <c r="H404">
        <v>77</v>
      </c>
      <c r="I404">
        <v>65</v>
      </c>
      <c r="J404">
        <v>57</v>
      </c>
      <c r="K404">
        <v>42</v>
      </c>
      <c r="L404">
        <v>33</v>
      </c>
      <c r="M404">
        <v>23</v>
      </c>
    </row>
    <row r="405" spans="1:13" x14ac:dyDescent="0.2">
      <c r="B405">
        <v>0.2</v>
      </c>
      <c r="C405">
        <v>344</v>
      </c>
      <c r="D405">
        <v>238</v>
      </c>
      <c r="E405">
        <v>187</v>
      </c>
      <c r="F405">
        <v>157</v>
      </c>
      <c r="G405">
        <v>121</v>
      </c>
      <c r="H405">
        <v>98</v>
      </c>
      <c r="I405">
        <v>84</v>
      </c>
      <c r="J405">
        <v>73</v>
      </c>
      <c r="K405">
        <v>53</v>
      </c>
      <c r="L405">
        <v>43</v>
      </c>
      <c r="M405">
        <v>31</v>
      </c>
    </row>
    <row r="406" spans="1:13" x14ac:dyDescent="0.2">
      <c r="B406">
        <v>0.1</v>
      </c>
      <c r="C406">
        <v>390</v>
      </c>
      <c r="D406">
        <v>272</v>
      </c>
      <c r="E406">
        <v>213</v>
      </c>
      <c r="F406">
        <v>181</v>
      </c>
      <c r="G406">
        <v>140</v>
      </c>
      <c r="H406">
        <v>115</v>
      </c>
      <c r="I406">
        <v>98</v>
      </c>
      <c r="J406">
        <v>86</v>
      </c>
      <c r="K406">
        <v>64</v>
      </c>
      <c r="L406">
        <v>51</v>
      </c>
      <c r="M406">
        <v>37</v>
      </c>
    </row>
    <row r="407" spans="1:13" x14ac:dyDescent="0.2">
      <c r="B407">
        <v>0.05</v>
      </c>
      <c r="C407">
        <v>420</v>
      </c>
      <c r="D407">
        <v>300</v>
      </c>
      <c r="E407">
        <v>241</v>
      </c>
      <c r="F407">
        <v>203</v>
      </c>
      <c r="G407">
        <v>158</v>
      </c>
      <c r="H407">
        <v>132</v>
      </c>
      <c r="I407">
        <v>113</v>
      </c>
      <c r="J407">
        <v>98</v>
      </c>
      <c r="K407">
        <v>74</v>
      </c>
      <c r="L407">
        <v>60</v>
      </c>
      <c r="M407">
        <v>44</v>
      </c>
    </row>
    <row r="408" spans="1:13" x14ac:dyDescent="0.2">
      <c r="B408">
        <v>3.3000000000000002E-2</v>
      </c>
      <c r="C408">
        <v>450</v>
      </c>
      <c r="D408">
        <v>318</v>
      </c>
      <c r="E408">
        <v>255</v>
      </c>
      <c r="F408">
        <v>217</v>
      </c>
      <c r="G408">
        <v>169</v>
      </c>
      <c r="H408">
        <v>140</v>
      </c>
      <c r="I408">
        <v>121</v>
      </c>
      <c r="J408">
        <v>107</v>
      </c>
      <c r="K408">
        <v>80</v>
      </c>
      <c r="L408">
        <v>65</v>
      </c>
      <c r="M408">
        <v>47</v>
      </c>
    </row>
    <row r="409" spans="1:13" x14ac:dyDescent="0.2">
      <c r="B409">
        <v>0.02</v>
      </c>
      <c r="C409">
        <v>468</v>
      </c>
      <c r="D409">
        <v>333.9</v>
      </c>
      <c r="E409">
        <v>270.3</v>
      </c>
      <c r="F409">
        <v>230.02</v>
      </c>
      <c r="G409">
        <v>179.14</v>
      </c>
      <c r="H409">
        <v>148.4</v>
      </c>
      <c r="I409">
        <v>128.26</v>
      </c>
      <c r="J409">
        <v>113.42</v>
      </c>
      <c r="K409">
        <v>84.8</v>
      </c>
      <c r="L409">
        <v>69.55</v>
      </c>
      <c r="M409">
        <v>50.29</v>
      </c>
    </row>
    <row r="410" spans="1:13" x14ac:dyDescent="0.2">
      <c r="B410">
        <v>0.01</v>
      </c>
      <c r="C410">
        <v>490.5</v>
      </c>
      <c r="D410">
        <v>349.8</v>
      </c>
      <c r="E410">
        <v>283.05</v>
      </c>
      <c r="F410">
        <v>240.87</v>
      </c>
      <c r="G410">
        <v>187.59</v>
      </c>
      <c r="H410">
        <v>156.80000000000001</v>
      </c>
      <c r="I410">
        <v>135.52000000000001</v>
      </c>
      <c r="J410">
        <v>119.84</v>
      </c>
      <c r="K410">
        <v>90.4</v>
      </c>
      <c r="L410">
        <v>73.45</v>
      </c>
      <c r="M410">
        <v>53.58</v>
      </c>
    </row>
    <row r="411" spans="1:13" x14ac:dyDescent="0.2">
      <c r="A411">
        <v>42</v>
      </c>
      <c r="B411" t="s">
        <v>157</v>
      </c>
      <c r="E411" t="s">
        <v>117</v>
      </c>
    </row>
    <row r="412" spans="1:13" x14ac:dyDescent="0.2">
      <c r="B412" t="s">
        <v>52</v>
      </c>
      <c r="C412">
        <v>5</v>
      </c>
      <c r="D412">
        <v>10</v>
      </c>
      <c r="E412">
        <v>15</v>
      </c>
      <c r="F412">
        <v>20</v>
      </c>
      <c r="G412">
        <v>30</v>
      </c>
      <c r="H412">
        <v>40</v>
      </c>
      <c r="I412">
        <v>50</v>
      </c>
      <c r="J412">
        <v>60</v>
      </c>
      <c r="K412">
        <v>90</v>
      </c>
      <c r="L412">
        <v>120</v>
      </c>
      <c r="M412">
        <v>180</v>
      </c>
    </row>
    <row r="413" spans="1:13" x14ac:dyDescent="0.2">
      <c r="B413">
        <v>1</v>
      </c>
      <c r="C413">
        <v>228</v>
      </c>
      <c r="D413">
        <v>148</v>
      </c>
      <c r="E413">
        <v>111</v>
      </c>
      <c r="F413">
        <v>89</v>
      </c>
      <c r="G413">
        <v>65</v>
      </c>
      <c r="H413">
        <v>52</v>
      </c>
      <c r="I413">
        <v>44</v>
      </c>
      <c r="J413">
        <v>38</v>
      </c>
      <c r="K413">
        <v>28</v>
      </c>
      <c r="L413">
        <v>22</v>
      </c>
      <c r="M413">
        <v>16</v>
      </c>
    </row>
    <row r="414" spans="1:13" x14ac:dyDescent="0.2">
      <c r="B414">
        <v>0.5</v>
      </c>
      <c r="C414">
        <v>270</v>
      </c>
      <c r="D414">
        <v>178</v>
      </c>
      <c r="E414">
        <v>135</v>
      </c>
      <c r="F414">
        <v>109</v>
      </c>
      <c r="G414">
        <v>80</v>
      </c>
      <c r="H414">
        <v>64</v>
      </c>
      <c r="I414">
        <v>53</v>
      </c>
      <c r="J414">
        <v>46</v>
      </c>
      <c r="K414">
        <v>33</v>
      </c>
      <c r="L414">
        <v>26</v>
      </c>
      <c r="M414">
        <v>19</v>
      </c>
    </row>
    <row r="415" spans="1:13" x14ac:dyDescent="0.2">
      <c r="B415">
        <v>0.2</v>
      </c>
      <c r="C415">
        <v>328</v>
      </c>
      <c r="D415">
        <v>218</v>
      </c>
      <c r="E415">
        <v>168</v>
      </c>
      <c r="F415">
        <v>138</v>
      </c>
      <c r="G415">
        <v>103</v>
      </c>
      <c r="H415">
        <v>83</v>
      </c>
      <c r="I415">
        <v>69</v>
      </c>
      <c r="J415">
        <v>59</v>
      </c>
      <c r="K415">
        <v>42</v>
      </c>
      <c r="L415">
        <v>32</v>
      </c>
      <c r="M415">
        <v>23</v>
      </c>
    </row>
    <row r="416" spans="1:13" x14ac:dyDescent="0.2">
      <c r="B416">
        <v>0.1</v>
      </c>
      <c r="C416">
        <v>370</v>
      </c>
      <c r="D416">
        <v>253</v>
      </c>
      <c r="E416">
        <v>195</v>
      </c>
      <c r="F416">
        <v>160</v>
      </c>
      <c r="G416">
        <v>119</v>
      </c>
      <c r="H416">
        <v>95</v>
      </c>
      <c r="I416">
        <v>79</v>
      </c>
      <c r="J416">
        <v>68</v>
      </c>
      <c r="K416">
        <v>48</v>
      </c>
      <c r="L416">
        <v>37</v>
      </c>
      <c r="M416">
        <v>25</v>
      </c>
    </row>
    <row r="417" spans="1:13" x14ac:dyDescent="0.2">
      <c r="B417">
        <v>0.05</v>
      </c>
      <c r="C417">
        <v>418</v>
      </c>
      <c r="D417">
        <v>288</v>
      </c>
      <c r="E417">
        <v>221</v>
      </c>
      <c r="F417">
        <v>181</v>
      </c>
      <c r="G417">
        <v>133</v>
      </c>
      <c r="H417">
        <v>106</v>
      </c>
      <c r="I417">
        <v>88</v>
      </c>
      <c r="J417">
        <v>75</v>
      </c>
      <c r="K417">
        <v>52</v>
      </c>
      <c r="L417">
        <v>40</v>
      </c>
      <c r="M417">
        <v>27</v>
      </c>
    </row>
    <row r="418" spans="1:13" x14ac:dyDescent="0.2">
      <c r="B418">
        <v>3.3000000000000002E-2</v>
      </c>
      <c r="C418">
        <v>434</v>
      </c>
      <c r="D418">
        <v>300</v>
      </c>
      <c r="E418">
        <v>233</v>
      </c>
      <c r="F418">
        <v>190</v>
      </c>
      <c r="G418">
        <v>140</v>
      </c>
      <c r="H418">
        <v>112</v>
      </c>
      <c r="I418">
        <v>92</v>
      </c>
      <c r="J418">
        <v>80</v>
      </c>
      <c r="K418">
        <v>56</v>
      </c>
      <c r="L418">
        <v>43</v>
      </c>
      <c r="M418">
        <v>29</v>
      </c>
    </row>
    <row r="419" spans="1:13" x14ac:dyDescent="0.2">
      <c r="B419">
        <v>0.02</v>
      </c>
      <c r="C419">
        <v>443</v>
      </c>
      <c r="D419">
        <v>312</v>
      </c>
      <c r="E419">
        <v>243</v>
      </c>
      <c r="F419">
        <v>198</v>
      </c>
      <c r="G419">
        <v>146</v>
      </c>
      <c r="H419">
        <v>117</v>
      </c>
      <c r="I419">
        <v>96</v>
      </c>
      <c r="J419">
        <v>83</v>
      </c>
      <c r="K419">
        <v>58</v>
      </c>
      <c r="L419">
        <v>44</v>
      </c>
      <c r="M419">
        <v>30</v>
      </c>
    </row>
    <row r="420" spans="1:13" x14ac:dyDescent="0.2">
      <c r="B420">
        <v>0.01</v>
      </c>
      <c r="C420">
        <v>465.15</v>
      </c>
      <c r="D420">
        <v>327.60000000000002</v>
      </c>
      <c r="E420">
        <v>255.15</v>
      </c>
      <c r="F420">
        <v>207.9</v>
      </c>
      <c r="G420">
        <v>153.30000000000001</v>
      </c>
      <c r="H420">
        <v>122.85</v>
      </c>
      <c r="I420">
        <v>103</v>
      </c>
      <c r="J420">
        <v>87.98</v>
      </c>
      <c r="K420">
        <v>61.48</v>
      </c>
      <c r="L420">
        <v>46.64</v>
      </c>
      <c r="M420">
        <v>32.1</v>
      </c>
    </row>
    <row r="421" spans="1:13" x14ac:dyDescent="0.2">
      <c r="A421">
        <v>43</v>
      </c>
      <c r="B421" t="s">
        <v>158</v>
      </c>
      <c r="E421" t="s">
        <v>117</v>
      </c>
    </row>
    <row r="422" spans="1:13" x14ac:dyDescent="0.2">
      <c r="B422" t="s">
        <v>52</v>
      </c>
      <c r="C422">
        <v>5</v>
      </c>
      <c r="D422">
        <v>10</v>
      </c>
      <c r="E422">
        <v>15</v>
      </c>
      <c r="F422">
        <v>20</v>
      </c>
      <c r="G422">
        <v>30</v>
      </c>
      <c r="H422">
        <v>40</v>
      </c>
      <c r="I422">
        <v>50</v>
      </c>
      <c r="J422">
        <v>60</v>
      </c>
      <c r="K422">
        <v>90</v>
      </c>
      <c r="L422">
        <v>120</v>
      </c>
      <c r="M422">
        <v>180</v>
      </c>
    </row>
    <row r="423" spans="1:13" x14ac:dyDescent="0.2">
      <c r="B423">
        <v>1</v>
      </c>
      <c r="C423">
        <v>262</v>
      </c>
      <c r="D423">
        <v>181</v>
      </c>
      <c r="E423">
        <v>140</v>
      </c>
      <c r="F423">
        <v>115</v>
      </c>
      <c r="G423">
        <v>85</v>
      </c>
      <c r="H423">
        <v>68</v>
      </c>
      <c r="I423">
        <v>56</v>
      </c>
      <c r="J423">
        <v>48</v>
      </c>
      <c r="K423">
        <v>34</v>
      </c>
      <c r="L423">
        <v>26</v>
      </c>
      <c r="M423">
        <v>18</v>
      </c>
    </row>
    <row r="424" spans="1:13" x14ac:dyDescent="0.2">
      <c r="B424">
        <v>0.5</v>
      </c>
      <c r="C424">
        <v>320</v>
      </c>
      <c r="D424">
        <v>228</v>
      </c>
      <c r="E424">
        <v>177</v>
      </c>
      <c r="F424">
        <v>147</v>
      </c>
      <c r="G424">
        <v>109</v>
      </c>
      <c r="H424">
        <v>88</v>
      </c>
      <c r="I424">
        <v>73</v>
      </c>
      <c r="J424">
        <v>63</v>
      </c>
      <c r="K424">
        <v>44</v>
      </c>
      <c r="L424">
        <v>34</v>
      </c>
      <c r="M424">
        <v>23</v>
      </c>
    </row>
    <row r="425" spans="1:13" x14ac:dyDescent="0.2">
      <c r="B425">
        <v>0.2</v>
      </c>
      <c r="C425">
        <v>388</v>
      </c>
      <c r="D425">
        <v>282</v>
      </c>
      <c r="E425">
        <v>225</v>
      </c>
      <c r="F425">
        <v>187</v>
      </c>
      <c r="G425">
        <v>142</v>
      </c>
      <c r="H425">
        <v>115</v>
      </c>
      <c r="I425">
        <v>96</v>
      </c>
      <c r="J425">
        <v>84</v>
      </c>
      <c r="K425">
        <v>60</v>
      </c>
      <c r="L425">
        <v>47</v>
      </c>
      <c r="M425">
        <v>33</v>
      </c>
    </row>
    <row r="426" spans="1:13" x14ac:dyDescent="0.2">
      <c r="B426">
        <v>0.1</v>
      </c>
      <c r="C426">
        <v>433</v>
      </c>
      <c r="D426">
        <v>317</v>
      </c>
      <c r="E426">
        <v>256</v>
      </c>
      <c r="F426">
        <v>217</v>
      </c>
      <c r="G426">
        <v>167</v>
      </c>
      <c r="H426">
        <v>136</v>
      </c>
      <c r="I426">
        <v>116</v>
      </c>
      <c r="J426">
        <v>102</v>
      </c>
      <c r="K426">
        <v>75</v>
      </c>
      <c r="L426">
        <v>60</v>
      </c>
      <c r="M426">
        <v>42</v>
      </c>
    </row>
    <row r="427" spans="1:13" x14ac:dyDescent="0.2">
      <c r="B427">
        <v>0.05</v>
      </c>
      <c r="C427">
        <v>472</v>
      </c>
      <c r="D427">
        <v>350</v>
      </c>
      <c r="E427">
        <v>285</v>
      </c>
      <c r="F427">
        <v>243</v>
      </c>
      <c r="G427">
        <v>190</v>
      </c>
      <c r="H427">
        <v>157</v>
      </c>
      <c r="I427">
        <v>135</v>
      </c>
      <c r="J427">
        <v>118</v>
      </c>
      <c r="K427">
        <v>88</v>
      </c>
      <c r="L427">
        <v>71</v>
      </c>
      <c r="M427">
        <v>51</v>
      </c>
    </row>
    <row r="428" spans="1:13" x14ac:dyDescent="0.2">
      <c r="B428">
        <v>3.3000000000000002E-2</v>
      </c>
      <c r="C428">
        <v>490</v>
      </c>
      <c r="D428">
        <v>367</v>
      </c>
      <c r="E428">
        <v>300</v>
      </c>
      <c r="F428">
        <v>260</v>
      </c>
      <c r="G428">
        <v>205</v>
      </c>
      <c r="H428">
        <v>171</v>
      </c>
      <c r="I428">
        <v>147</v>
      </c>
      <c r="J428">
        <v>130</v>
      </c>
      <c r="K428">
        <v>96</v>
      </c>
      <c r="L428">
        <v>79</v>
      </c>
      <c r="M428">
        <v>57</v>
      </c>
    </row>
    <row r="429" spans="1:13" x14ac:dyDescent="0.2">
      <c r="B429">
        <v>0.02</v>
      </c>
      <c r="C429">
        <v>509.6</v>
      </c>
      <c r="D429">
        <v>385.35</v>
      </c>
      <c r="E429">
        <v>318</v>
      </c>
      <c r="F429">
        <v>275.60000000000002</v>
      </c>
      <c r="G429">
        <v>217.3</v>
      </c>
      <c r="H429">
        <v>181.26</v>
      </c>
      <c r="I429">
        <v>155.82</v>
      </c>
      <c r="J429">
        <v>137.80000000000001</v>
      </c>
      <c r="K429">
        <v>101.76</v>
      </c>
      <c r="L429">
        <v>84.53</v>
      </c>
      <c r="M429">
        <v>60.99</v>
      </c>
    </row>
    <row r="430" spans="1:13" x14ac:dyDescent="0.2">
      <c r="B430">
        <v>0.01</v>
      </c>
      <c r="C430">
        <v>534.1</v>
      </c>
      <c r="D430">
        <v>403.7</v>
      </c>
      <c r="E430">
        <v>333</v>
      </c>
      <c r="F430">
        <v>288.60000000000002</v>
      </c>
      <c r="G430">
        <v>227.55</v>
      </c>
      <c r="H430">
        <v>191.52</v>
      </c>
      <c r="I430">
        <v>164.64</v>
      </c>
      <c r="J430">
        <v>145.6</v>
      </c>
      <c r="K430">
        <v>108.48</v>
      </c>
      <c r="L430">
        <v>89.27</v>
      </c>
      <c r="M430">
        <v>64.98</v>
      </c>
    </row>
    <row r="431" spans="1:13" x14ac:dyDescent="0.2">
      <c r="A431">
        <v>44</v>
      </c>
      <c r="B431" t="s">
        <v>159</v>
      </c>
      <c r="E431" t="s">
        <v>117</v>
      </c>
    </row>
    <row r="432" spans="1:13" x14ac:dyDescent="0.2">
      <c r="B432" t="s">
        <v>52</v>
      </c>
      <c r="C432">
        <v>5</v>
      </c>
      <c r="D432">
        <v>10</v>
      </c>
      <c r="E432">
        <v>15</v>
      </c>
      <c r="F432">
        <v>20</v>
      </c>
      <c r="G432">
        <v>30</v>
      </c>
      <c r="H432">
        <v>40</v>
      </c>
      <c r="I432">
        <v>50</v>
      </c>
      <c r="J432">
        <v>60</v>
      </c>
      <c r="K432">
        <v>90</v>
      </c>
      <c r="L432">
        <v>120</v>
      </c>
      <c r="M432">
        <v>180</v>
      </c>
    </row>
    <row r="433" spans="1:13" x14ac:dyDescent="0.2">
      <c r="B433">
        <v>1</v>
      </c>
      <c r="C433">
        <v>253</v>
      </c>
      <c r="D433">
        <v>168</v>
      </c>
      <c r="E433">
        <v>132</v>
      </c>
      <c r="F433">
        <v>108</v>
      </c>
      <c r="G433">
        <v>82</v>
      </c>
      <c r="H433">
        <v>67</v>
      </c>
      <c r="I433">
        <v>57</v>
      </c>
      <c r="J433">
        <v>49</v>
      </c>
      <c r="K433">
        <v>36</v>
      </c>
      <c r="L433">
        <v>28</v>
      </c>
      <c r="M433">
        <v>20</v>
      </c>
    </row>
    <row r="434" spans="1:13" x14ac:dyDescent="0.2">
      <c r="B434">
        <v>0.5</v>
      </c>
      <c r="C434">
        <v>300</v>
      </c>
      <c r="D434">
        <v>201</v>
      </c>
      <c r="E434">
        <v>158</v>
      </c>
      <c r="F434">
        <v>131</v>
      </c>
      <c r="G434">
        <v>100</v>
      </c>
      <c r="H434">
        <v>82</v>
      </c>
      <c r="I434">
        <v>70</v>
      </c>
      <c r="J434">
        <v>61</v>
      </c>
      <c r="K434">
        <v>44</v>
      </c>
      <c r="L434">
        <v>35</v>
      </c>
      <c r="M434">
        <v>25</v>
      </c>
    </row>
    <row r="435" spans="1:13" x14ac:dyDescent="0.2">
      <c r="B435">
        <v>0.2</v>
      </c>
      <c r="C435">
        <v>359</v>
      </c>
      <c r="D435">
        <v>244</v>
      </c>
      <c r="E435">
        <v>192</v>
      </c>
      <c r="F435">
        <v>160</v>
      </c>
      <c r="G435">
        <v>122</v>
      </c>
      <c r="H435">
        <v>100</v>
      </c>
      <c r="I435">
        <v>85</v>
      </c>
      <c r="J435">
        <v>75</v>
      </c>
      <c r="K435">
        <v>55</v>
      </c>
      <c r="L435">
        <v>44</v>
      </c>
      <c r="M435">
        <v>31</v>
      </c>
    </row>
    <row r="436" spans="1:13" x14ac:dyDescent="0.2">
      <c r="B436">
        <v>0.1</v>
      </c>
      <c r="C436">
        <v>399</v>
      </c>
      <c r="D436">
        <v>271</v>
      </c>
      <c r="E436">
        <v>213</v>
      </c>
      <c r="F436">
        <v>178</v>
      </c>
      <c r="G436">
        <v>136</v>
      </c>
      <c r="H436">
        <v>112</v>
      </c>
      <c r="I436">
        <v>95</v>
      </c>
      <c r="J436">
        <v>83</v>
      </c>
      <c r="K436">
        <v>61</v>
      </c>
      <c r="L436">
        <v>49</v>
      </c>
      <c r="M436">
        <v>35</v>
      </c>
    </row>
    <row r="437" spans="1:13" x14ac:dyDescent="0.2">
      <c r="B437">
        <v>0.05</v>
      </c>
      <c r="C437">
        <v>437</v>
      </c>
      <c r="D437">
        <v>298</v>
      </c>
      <c r="E437">
        <v>234</v>
      </c>
      <c r="F437">
        <v>194</v>
      </c>
      <c r="G437">
        <v>148</v>
      </c>
      <c r="H437">
        <v>121</v>
      </c>
      <c r="I437">
        <v>103</v>
      </c>
      <c r="J437">
        <v>90</v>
      </c>
      <c r="K437">
        <v>66</v>
      </c>
      <c r="L437">
        <v>52</v>
      </c>
      <c r="M437">
        <v>37</v>
      </c>
    </row>
    <row r="438" spans="1:13" x14ac:dyDescent="0.2">
      <c r="B438">
        <v>3.3000000000000002E-2</v>
      </c>
      <c r="C438">
        <v>472</v>
      </c>
      <c r="D438">
        <v>320</v>
      </c>
      <c r="E438">
        <v>250</v>
      </c>
      <c r="F438">
        <v>209</v>
      </c>
      <c r="G438">
        <v>160</v>
      </c>
      <c r="H438">
        <v>130</v>
      </c>
      <c r="I438">
        <v>110</v>
      </c>
      <c r="J438">
        <v>96</v>
      </c>
      <c r="K438">
        <v>70</v>
      </c>
      <c r="L438">
        <v>55</v>
      </c>
      <c r="M438">
        <v>39</v>
      </c>
    </row>
    <row r="439" spans="1:13" x14ac:dyDescent="0.2">
      <c r="B439">
        <v>0.02</v>
      </c>
      <c r="C439">
        <v>490.88</v>
      </c>
      <c r="D439">
        <v>336</v>
      </c>
      <c r="E439">
        <v>265</v>
      </c>
      <c r="F439">
        <v>221.54</v>
      </c>
      <c r="G439">
        <v>169.6</v>
      </c>
      <c r="H439">
        <v>137.80000000000001</v>
      </c>
      <c r="I439">
        <v>116.6</v>
      </c>
      <c r="J439">
        <v>101.76</v>
      </c>
      <c r="K439">
        <v>74.2</v>
      </c>
      <c r="L439">
        <v>58.85</v>
      </c>
      <c r="M439">
        <v>41.73</v>
      </c>
    </row>
    <row r="440" spans="1:13" x14ac:dyDescent="0.2">
      <c r="B440">
        <v>0.01</v>
      </c>
      <c r="C440">
        <v>514.48</v>
      </c>
      <c r="D440">
        <v>352</v>
      </c>
      <c r="E440">
        <v>277.5</v>
      </c>
      <c r="F440">
        <v>231.99</v>
      </c>
      <c r="G440">
        <v>177.6</v>
      </c>
      <c r="H440">
        <v>145.6</v>
      </c>
      <c r="I440">
        <v>123.2</v>
      </c>
      <c r="J440">
        <v>108</v>
      </c>
      <c r="K440">
        <v>79.099999999999994</v>
      </c>
      <c r="L440">
        <v>62.15</v>
      </c>
      <c r="M440">
        <v>44.46</v>
      </c>
    </row>
    <row r="441" spans="1:13" x14ac:dyDescent="0.2">
      <c r="A441">
        <v>45</v>
      </c>
      <c r="B441" t="s">
        <v>160</v>
      </c>
      <c r="E441" t="s">
        <v>117</v>
      </c>
    </row>
    <row r="442" spans="1:13" x14ac:dyDescent="0.2">
      <c r="B442" t="s">
        <v>52</v>
      </c>
      <c r="C442">
        <v>5</v>
      </c>
      <c r="D442">
        <v>10</v>
      </c>
      <c r="E442">
        <v>15</v>
      </c>
      <c r="F442">
        <v>20</v>
      </c>
      <c r="G442">
        <v>30</v>
      </c>
      <c r="H442">
        <v>40</v>
      </c>
      <c r="I442">
        <v>50</v>
      </c>
      <c r="J442">
        <v>60</v>
      </c>
      <c r="K442">
        <v>90</v>
      </c>
      <c r="L442">
        <v>120</v>
      </c>
      <c r="M442">
        <v>180</v>
      </c>
    </row>
    <row r="443" spans="1:13" x14ac:dyDescent="0.2">
      <c r="B443">
        <v>1</v>
      </c>
      <c r="C443">
        <v>195</v>
      </c>
      <c r="D443">
        <v>138</v>
      </c>
      <c r="E443">
        <v>108</v>
      </c>
      <c r="F443">
        <v>90</v>
      </c>
      <c r="G443">
        <v>68</v>
      </c>
      <c r="H443">
        <v>55</v>
      </c>
      <c r="I443">
        <v>46</v>
      </c>
      <c r="J443">
        <v>40</v>
      </c>
      <c r="K443">
        <v>29</v>
      </c>
      <c r="L443">
        <v>22</v>
      </c>
      <c r="M443">
        <v>15</v>
      </c>
    </row>
    <row r="444" spans="1:13" x14ac:dyDescent="0.2">
      <c r="B444">
        <v>0.5</v>
      </c>
      <c r="C444">
        <v>225</v>
      </c>
      <c r="D444">
        <v>162</v>
      </c>
      <c r="E444">
        <v>131</v>
      </c>
      <c r="F444">
        <v>112</v>
      </c>
      <c r="G444">
        <v>85</v>
      </c>
      <c r="H444">
        <v>68</v>
      </c>
      <c r="I444">
        <v>57</v>
      </c>
      <c r="J444">
        <v>50</v>
      </c>
      <c r="K444">
        <v>35</v>
      </c>
      <c r="L444">
        <v>27</v>
      </c>
      <c r="M444">
        <v>19</v>
      </c>
    </row>
    <row r="445" spans="1:13" x14ac:dyDescent="0.2">
      <c r="B445">
        <v>0.2</v>
      </c>
      <c r="C445">
        <v>268</v>
      </c>
      <c r="D445">
        <v>199</v>
      </c>
      <c r="E445">
        <v>164</v>
      </c>
      <c r="F445">
        <v>140</v>
      </c>
      <c r="G445">
        <v>108</v>
      </c>
      <c r="H445">
        <v>86</v>
      </c>
      <c r="I445">
        <v>73</v>
      </c>
      <c r="J445">
        <v>63</v>
      </c>
      <c r="K445">
        <v>45</v>
      </c>
      <c r="L445">
        <v>35</v>
      </c>
      <c r="M445">
        <v>24</v>
      </c>
    </row>
    <row r="446" spans="1:13" x14ac:dyDescent="0.2">
      <c r="B446">
        <v>0.1</v>
      </c>
      <c r="C446">
        <v>310</v>
      </c>
      <c r="D446">
        <v>229</v>
      </c>
      <c r="E446">
        <v>189</v>
      </c>
      <c r="F446">
        <v>162</v>
      </c>
      <c r="G446">
        <v>126</v>
      </c>
      <c r="H446">
        <v>102</v>
      </c>
      <c r="I446">
        <v>85</v>
      </c>
      <c r="J446">
        <v>74</v>
      </c>
      <c r="K446">
        <v>52</v>
      </c>
      <c r="L446">
        <v>40</v>
      </c>
      <c r="M446">
        <v>28</v>
      </c>
    </row>
    <row r="447" spans="1:13" x14ac:dyDescent="0.2">
      <c r="B447">
        <v>0.05</v>
      </c>
      <c r="C447">
        <v>348</v>
      </c>
      <c r="D447">
        <v>260</v>
      </c>
      <c r="E447">
        <v>214</v>
      </c>
      <c r="F447">
        <v>182</v>
      </c>
      <c r="G447">
        <v>142</v>
      </c>
      <c r="H447">
        <v>116</v>
      </c>
      <c r="I447">
        <v>98</v>
      </c>
      <c r="J447">
        <v>86</v>
      </c>
      <c r="K447">
        <v>61</v>
      </c>
      <c r="L447">
        <v>47</v>
      </c>
      <c r="M447">
        <v>32</v>
      </c>
    </row>
    <row r="448" spans="1:13" x14ac:dyDescent="0.2">
      <c r="B448">
        <v>3.3000000000000002E-2</v>
      </c>
      <c r="C448">
        <v>391</v>
      </c>
      <c r="D448">
        <v>289</v>
      </c>
      <c r="E448">
        <v>231</v>
      </c>
      <c r="F448">
        <v>194</v>
      </c>
      <c r="G448">
        <v>150</v>
      </c>
      <c r="H448">
        <v>122</v>
      </c>
      <c r="I448">
        <v>104</v>
      </c>
      <c r="J448">
        <v>90</v>
      </c>
      <c r="K448">
        <v>66</v>
      </c>
      <c r="L448">
        <v>52</v>
      </c>
      <c r="M448">
        <v>37</v>
      </c>
    </row>
    <row r="449" spans="1:13" x14ac:dyDescent="0.2">
      <c r="B449">
        <v>0.02</v>
      </c>
      <c r="C449">
        <v>406.64</v>
      </c>
      <c r="D449">
        <v>303.45</v>
      </c>
      <c r="E449">
        <v>244.86</v>
      </c>
      <c r="F449">
        <v>205.64</v>
      </c>
      <c r="G449">
        <v>159</v>
      </c>
      <c r="H449">
        <v>129.32</v>
      </c>
      <c r="I449">
        <v>110.24</v>
      </c>
      <c r="J449">
        <v>95.4</v>
      </c>
      <c r="K449">
        <v>69.959999999999994</v>
      </c>
      <c r="L449">
        <v>55.64</v>
      </c>
      <c r="M449">
        <v>39.590000000000003</v>
      </c>
    </row>
    <row r="450" spans="1:13" x14ac:dyDescent="0.2">
      <c r="B450">
        <v>0.01</v>
      </c>
      <c r="C450">
        <v>426.19</v>
      </c>
      <c r="D450">
        <v>317.89999999999998</v>
      </c>
      <c r="E450">
        <v>256.41000000000003</v>
      </c>
      <c r="F450">
        <v>215.34</v>
      </c>
      <c r="G450">
        <v>166.5</v>
      </c>
      <c r="H450">
        <v>136.63999999999999</v>
      </c>
      <c r="I450">
        <v>116.48</v>
      </c>
      <c r="J450">
        <v>102</v>
      </c>
      <c r="K450">
        <v>74.58</v>
      </c>
      <c r="L450">
        <v>58.76</v>
      </c>
      <c r="M450">
        <v>42.18</v>
      </c>
    </row>
    <row r="451" spans="1:13" x14ac:dyDescent="0.2">
      <c r="A451">
        <v>46</v>
      </c>
      <c r="B451" t="s">
        <v>161</v>
      </c>
      <c r="E451" t="s">
        <v>117</v>
      </c>
    </row>
    <row r="452" spans="1:13" x14ac:dyDescent="0.2">
      <c r="B452" t="s">
        <v>52</v>
      </c>
      <c r="C452">
        <v>5</v>
      </c>
      <c r="D452">
        <v>10</v>
      </c>
      <c r="E452">
        <v>15</v>
      </c>
      <c r="F452">
        <v>20</v>
      </c>
      <c r="G452">
        <v>30</v>
      </c>
      <c r="H452">
        <v>40</v>
      </c>
      <c r="I452">
        <v>50</v>
      </c>
      <c r="J452">
        <v>60</v>
      </c>
      <c r="K452">
        <v>90</v>
      </c>
      <c r="L452">
        <v>120</v>
      </c>
      <c r="M452">
        <v>180</v>
      </c>
    </row>
    <row r="453" spans="1:13" x14ac:dyDescent="0.2">
      <c r="B453">
        <v>1</v>
      </c>
      <c r="C453">
        <v>230</v>
      </c>
      <c r="D453">
        <v>162</v>
      </c>
      <c r="E453">
        <v>129</v>
      </c>
      <c r="F453">
        <v>108</v>
      </c>
      <c r="G453">
        <v>81</v>
      </c>
      <c r="H453">
        <v>64</v>
      </c>
      <c r="I453">
        <v>54</v>
      </c>
      <c r="J453">
        <v>46</v>
      </c>
      <c r="K453">
        <v>33</v>
      </c>
      <c r="L453">
        <v>26</v>
      </c>
      <c r="M453">
        <v>18</v>
      </c>
    </row>
    <row r="454" spans="1:13" x14ac:dyDescent="0.2">
      <c r="B454">
        <v>0.5</v>
      </c>
      <c r="C454">
        <v>268</v>
      </c>
      <c r="D454">
        <v>193</v>
      </c>
      <c r="E454">
        <v>157</v>
      </c>
      <c r="F454">
        <v>134</v>
      </c>
      <c r="G454">
        <v>102</v>
      </c>
      <c r="H454">
        <v>83</v>
      </c>
      <c r="I454">
        <v>70</v>
      </c>
      <c r="J454">
        <v>60</v>
      </c>
      <c r="K454">
        <v>42</v>
      </c>
      <c r="L454">
        <v>33</v>
      </c>
      <c r="M454">
        <v>22</v>
      </c>
    </row>
    <row r="455" spans="1:13" x14ac:dyDescent="0.2">
      <c r="B455">
        <v>0.2</v>
      </c>
      <c r="C455">
        <v>320</v>
      </c>
      <c r="D455">
        <v>238</v>
      </c>
      <c r="E455">
        <v>193</v>
      </c>
      <c r="F455">
        <v>164</v>
      </c>
      <c r="G455">
        <v>130</v>
      </c>
      <c r="H455">
        <v>108</v>
      </c>
      <c r="I455">
        <v>91</v>
      </c>
      <c r="J455">
        <v>79</v>
      </c>
      <c r="K455">
        <v>56</v>
      </c>
      <c r="L455">
        <v>44</v>
      </c>
      <c r="M455">
        <v>31</v>
      </c>
    </row>
    <row r="456" spans="1:13" x14ac:dyDescent="0.2">
      <c r="B456">
        <v>0.1</v>
      </c>
      <c r="C456">
        <v>372</v>
      </c>
      <c r="D456">
        <v>270</v>
      </c>
      <c r="E456">
        <v>220</v>
      </c>
      <c r="F456">
        <v>188</v>
      </c>
      <c r="G456">
        <v>150</v>
      </c>
      <c r="H456">
        <v>123</v>
      </c>
      <c r="I456">
        <v>104</v>
      </c>
      <c r="J456">
        <v>90</v>
      </c>
      <c r="K456">
        <v>66</v>
      </c>
      <c r="L456">
        <v>52</v>
      </c>
      <c r="M456">
        <v>37</v>
      </c>
    </row>
    <row r="457" spans="1:13" x14ac:dyDescent="0.2">
      <c r="B457">
        <v>0.05</v>
      </c>
      <c r="C457">
        <v>420</v>
      </c>
      <c r="D457">
        <v>302</v>
      </c>
      <c r="E457">
        <v>245</v>
      </c>
      <c r="F457">
        <v>207</v>
      </c>
      <c r="G457">
        <v>162</v>
      </c>
      <c r="H457">
        <v>133</v>
      </c>
      <c r="I457">
        <v>113</v>
      </c>
      <c r="J457">
        <v>99</v>
      </c>
      <c r="K457">
        <v>73</v>
      </c>
      <c r="L457">
        <v>59</v>
      </c>
      <c r="M457">
        <v>43</v>
      </c>
    </row>
    <row r="458" spans="1:13" x14ac:dyDescent="0.2">
      <c r="B458">
        <v>3.3000000000000002E-2</v>
      </c>
      <c r="C458">
        <v>468</v>
      </c>
      <c r="D458">
        <v>331</v>
      </c>
      <c r="E458">
        <v>262</v>
      </c>
      <c r="F458">
        <v>220</v>
      </c>
      <c r="G458">
        <v>171</v>
      </c>
      <c r="H458">
        <v>141</v>
      </c>
      <c r="I458">
        <v>120</v>
      </c>
      <c r="J458">
        <v>106</v>
      </c>
      <c r="K458">
        <v>78</v>
      </c>
      <c r="L458">
        <v>63</v>
      </c>
      <c r="M458">
        <v>47</v>
      </c>
    </row>
    <row r="459" spans="1:13" x14ac:dyDescent="0.2">
      <c r="B459">
        <v>0.02</v>
      </c>
      <c r="C459">
        <v>500</v>
      </c>
      <c r="D459">
        <v>350</v>
      </c>
      <c r="E459">
        <v>280</v>
      </c>
      <c r="F459">
        <v>235</v>
      </c>
      <c r="G459">
        <v>182</v>
      </c>
      <c r="H459">
        <v>149</v>
      </c>
      <c r="I459">
        <v>128</v>
      </c>
      <c r="J459">
        <v>112</v>
      </c>
      <c r="K459">
        <v>82</v>
      </c>
      <c r="L459">
        <v>67</v>
      </c>
      <c r="M459">
        <v>50</v>
      </c>
    </row>
    <row r="460" spans="1:13" x14ac:dyDescent="0.2">
      <c r="B460">
        <v>0.01</v>
      </c>
      <c r="C460">
        <v>532</v>
      </c>
      <c r="D460">
        <v>374</v>
      </c>
      <c r="E460">
        <v>298</v>
      </c>
      <c r="F460">
        <v>250</v>
      </c>
      <c r="G460">
        <v>193</v>
      </c>
      <c r="H460">
        <v>158</v>
      </c>
      <c r="I460">
        <v>135</v>
      </c>
      <c r="J460">
        <v>118</v>
      </c>
      <c r="K460">
        <v>87</v>
      </c>
      <c r="L460">
        <v>71</v>
      </c>
      <c r="M460">
        <v>53</v>
      </c>
    </row>
    <row r="461" spans="1:13" x14ac:dyDescent="0.2">
      <c r="A461">
        <v>47</v>
      </c>
      <c r="B461" t="s">
        <v>162</v>
      </c>
      <c r="E461" t="s">
        <v>117</v>
      </c>
    </row>
    <row r="462" spans="1:13" x14ac:dyDescent="0.2">
      <c r="B462" t="s">
        <v>52</v>
      </c>
      <c r="C462">
        <v>5</v>
      </c>
      <c r="D462">
        <v>10</v>
      </c>
      <c r="E462">
        <v>15</v>
      </c>
      <c r="F462">
        <v>20</v>
      </c>
      <c r="G462">
        <v>30</v>
      </c>
      <c r="H462">
        <v>40</v>
      </c>
      <c r="I462">
        <v>50</v>
      </c>
      <c r="J462">
        <v>60</v>
      </c>
      <c r="K462">
        <v>90</v>
      </c>
      <c r="L462">
        <v>120</v>
      </c>
      <c r="M462">
        <v>180</v>
      </c>
    </row>
    <row r="463" spans="1:13" x14ac:dyDescent="0.2">
      <c r="B463">
        <v>1</v>
      </c>
      <c r="C463">
        <v>249</v>
      </c>
      <c r="D463">
        <v>168</v>
      </c>
      <c r="E463">
        <v>131</v>
      </c>
      <c r="F463">
        <v>108</v>
      </c>
      <c r="G463">
        <v>82</v>
      </c>
      <c r="H463">
        <v>66</v>
      </c>
      <c r="I463">
        <v>56</v>
      </c>
      <c r="J463">
        <v>48</v>
      </c>
      <c r="K463">
        <v>35</v>
      </c>
      <c r="L463">
        <v>27</v>
      </c>
      <c r="M463">
        <v>19</v>
      </c>
    </row>
    <row r="464" spans="1:13" x14ac:dyDescent="0.2">
      <c r="B464">
        <v>0.5</v>
      </c>
      <c r="C464">
        <v>300</v>
      </c>
      <c r="D464">
        <v>203</v>
      </c>
      <c r="E464">
        <v>158</v>
      </c>
      <c r="F464">
        <v>131</v>
      </c>
      <c r="G464">
        <v>100</v>
      </c>
      <c r="H464">
        <v>82</v>
      </c>
      <c r="I464">
        <v>70</v>
      </c>
      <c r="J464">
        <v>60</v>
      </c>
      <c r="K464">
        <v>43</v>
      </c>
      <c r="L464">
        <v>34</v>
      </c>
      <c r="M464">
        <v>23</v>
      </c>
    </row>
    <row r="465" spans="1:13" x14ac:dyDescent="0.2">
      <c r="B465">
        <v>0.2</v>
      </c>
      <c r="C465">
        <v>365</v>
      </c>
      <c r="D465">
        <v>250</v>
      </c>
      <c r="E465">
        <v>195</v>
      </c>
      <c r="F465">
        <v>163</v>
      </c>
      <c r="G465">
        <v>126</v>
      </c>
      <c r="H465">
        <v>102</v>
      </c>
      <c r="I465">
        <v>87</v>
      </c>
      <c r="J465">
        <v>76</v>
      </c>
      <c r="K465">
        <v>56</v>
      </c>
      <c r="L465">
        <v>44</v>
      </c>
      <c r="M465">
        <v>32</v>
      </c>
    </row>
    <row r="466" spans="1:13" x14ac:dyDescent="0.2">
      <c r="B466">
        <v>0.1</v>
      </c>
      <c r="C466">
        <v>409</v>
      </c>
      <c r="D466">
        <v>285</v>
      </c>
      <c r="E466">
        <v>225</v>
      </c>
      <c r="F466">
        <v>188</v>
      </c>
      <c r="G466">
        <v>146</v>
      </c>
      <c r="H466">
        <v>119</v>
      </c>
      <c r="I466">
        <v>102</v>
      </c>
      <c r="J466">
        <v>89</v>
      </c>
      <c r="K466">
        <v>66</v>
      </c>
      <c r="L466">
        <v>52</v>
      </c>
      <c r="M466">
        <v>38</v>
      </c>
    </row>
    <row r="467" spans="1:13" x14ac:dyDescent="0.2">
      <c r="B467">
        <v>0.05</v>
      </c>
      <c r="C467">
        <v>453</v>
      </c>
      <c r="D467">
        <v>319</v>
      </c>
      <c r="E467">
        <v>254</v>
      </c>
      <c r="F467">
        <v>215</v>
      </c>
      <c r="G467">
        <v>166</v>
      </c>
      <c r="H467">
        <v>138</v>
      </c>
      <c r="I467">
        <v>117</v>
      </c>
      <c r="J467">
        <v>102</v>
      </c>
      <c r="K467">
        <v>76</v>
      </c>
      <c r="L467">
        <v>61</v>
      </c>
      <c r="M467">
        <v>44</v>
      </c>
    </row>
    <row r="468" spans="1:13" x14ac:dyDescent="0.2">
      <c r="B468">
        <v>3.3000000000000002E-2</v>
      </c>
      <c r="C468">
        <v>482</v>
      </c>
      <c r="D468">
        <v>345</v>
      </c>
      <c r="E468">
        <v>275</v>
      </c>
      <c r="F468">
        <v>231</v>
      </c>
      <c r="G468">
        <v>180</v>
      </c>
      <c r="H468">
        <v>148</v>
      </c>
      <c r="I468">
        <v>125</v>
      </c>
      <c r="J468">
        <v>111</v>
      </c>
      <c r="K468">
        <v>82</v>
      </c>
      <c r="L468">
        <v>66</v>
      </c>
      <c r="M468">
        <v>48</v>
      </c>
    </row>
    <row r="469" spans="1:13" x14ac:dyDescent="0.2">
      <c r="B469">
        <v>0.02</v>
      </c>
      <c r="C469">
        <v>501.28</v>
      </c>
      <c r="D469">
        <v>362.25</v>
      </c>
      <c r="E469">
        <v>291.5</v>
      </c>
      <c r="F469">
        <v>244.86</v>
      </c>
      <c r="G469">
        <v>190.8</v>
      </c>
      <c r="H469">
        <v>156.88</v>
      </c>
      <c r="I469">
        <v>133</v>
      </c>
      <c r="J469">
        <v>117.66</v>
      </c>
      <c r="K469">
        <v>86.92</v>
      </c>
      <c r="L469">
        <v>70.62</v>
      </c>
      <c r="M469">
        <v>51.36</v>
      </c>
    </row>
    <row r="470" spans="1:13" x14ac:dyDescent="0.2">
      <c r="B470">
        <v>0.01</v>
      </c>
      <c r="C470">
        <v>525.38</v>
      </c>
      <c r="D470">
        <v>379.5</v>
      </c>
      <c r="E470">
        <v>305.25</v>
      </c>
      <c r="F470">
        <v>256.41000000000003</v>
      </c>
      <c r="G470">
        <v>199.8</v>
      </c>
      <c r="H470">
        <v>165.76</v>
      </c>
      <c r="I470">
        <v>140</v>
      </c>
      <c r="J470">
        <v>126</v>
      </c>
      <c r="K470">
        <v>92.66</v>
      </c>
      <c r="L470">
        <v>74.58</v>
      </c>
      <c r="M470">
        <v>54.72</v>
      </c>
    </row>
    <row r="471" spans="1:13" x14ac:dyDescent="0.2">
      <c r="A471">
        <v>48</v>
      </c>
      <c r="B471" t="s">
        <v>163</v>
      </c>
      <c r="E471" t="s">
        <v>117</v>
      </c>
    </row>
    <row r="472" spans="1:13" x14ac:dyDescent="0.2">
      <c r="B472" t="s">
        <v>52</v>
      </c>
      <c r="C472">
        <v>5</v>
      </c>
      <c r="D472">
        <v>10</v>
      </c>
      <c r="E472">
        <v>15</v>
      </c>
      <c r="F472">
        <v>20</v>
      </c>
      <c r="G472">
        <v>30</v>
      </c>
      <c r="H472">
        <v>40</v>
      </c>
      <c r="I472">
        <v>50</v>
      </c>
      <c r="J472">
        <v>60</v>
      </c>
      <c r="K472">
        <v>90</v>
      </c>
      <c r="L472">
        <v>120</v>
      </c>
      <c r="M472">
        <v>180</v>
      </c>
    </row>
    <row r="473" spans="1:13" x14ac:dyDescent="0.2">
      <c r="B473">
        <v>1</v>
      </c>
      <c r="C473">
        <v>323</v>
      </c>
      <c r="D473">
        <v>202</v>
      </c>
      <c r="E473">
        <v>149</v>
      </c>
      <c r="F473">
        <v>120</v>
      </c>
      <c r="G473">
        <v>86</v>
      </c>
      <c r="H473">
        <v>68</v>
      </c>
      <c r="I473">
        <v>56</v>
      </c>
      <c r="J473">
        <v>47</v>
      </c>
      <c r="K473">
        <v>32</v>
      </c>
      <c r="L473">
        <v>24</v>
      </c>
      <c r="M473">
        <v>16</v>
      </c>
    </row>
    <row r="474" spans="1:13" x14ac:dyDescent="0.2">
      <c r="B474">
        <v>0.5</v>
      </c>
      <c r="C474">
        <v>390</v>
      </c>
      <c r="D474">
        <v>249</v>
      </c>
      <c r="E474">
        <v>187</v>
      </c>
      <c r="F474">
        <v>152</v>
      </c>
      <c r="G474">
        <v>112</v>
      </c>
      <c r="H474">
        <v>87</v>
      </c>
      <c r="I474">
        <v>72</v>
      </c>
      <c r="J474">
        <v>61</v>
      </c>
      <c r="K474">
        <v>42</v>
      </c>
      <c r="L474">
        <v>32</v>
      </c>
      <c r="M474">
        <v>21</v>
      </c>
    </row>
    <row r="475" spans="1:13" x14ac:dyDescent="0.2">
      <c r="B475">
        <v>0.2</v>
      </c>
      <c r="C475">
        <v>451</v>
      </c>
      <c r="D475">
        <v>310</v>
      </c>
      <c r="E475">
        <v>239</v>
      </c>
      <c r="F475">
        <v>193</v>
      </c>
      <c r="G475">
        <v>142</v>
      </c>
      <c r="H475">
        <v>112</v>
      </c>
      <c r="I475">
        <v>92</v>
      </c>
      <c r="J475">
        <v>79</v>
      </c>
      <c r="K475">
        <v>55</v>
      </c>
      <c r="L475">
        <v>42</v>
      </c>
      <c r="M475">
        <v>28</v>
      </c>
    </row>
    <row r="476" spans="1:13" x14ac:dyDescent="0.2">
      <c r="B476">
        <v>0.1</v>
      </c>
      <c r="C476">
        <v>518</v>
      </c>
      <c r="D476">
        <v>364</v>
      </c>
      <c r="E476">
        <v>282</v>
      </c>
      <c r="F476">
        <v>232</v>
      </c>
      <c r="G476">
        <v>171</v>
      </c>
      <c r="H476">
        <v>135</v>
      </c>
      <c r="I476">
        <v>112</v>
      </c>
      <c r="J476">
        <v>95</v>
      </c>
      <c r="K476">
        <v>66</v>
      </c>
      <c r="L476">
        <v>50</v>
      </c>
      <c r="M476">
        <v>34</v>
      </c>
    </row>
    <row r="477" spans="1:13" x14ac:dyDescent="0.2">
      <c r="B477">
        <v>0.05</v>
      </c>
      <c r="C477">
        <v>560</v>
      </c>
      <c r="D477">
        <v>402</v>
      </c>
      <c r="E477">
        <v>314</v>
      </c>
      <c r="F477">
        <v>259</v>
      </c>
      <c r="G477">
        <v>192</v>
      </c>
      <c r="H477">
        <v>153</v>
      </c>
      <c r="I477">
        <v>127</v>
      </c>
      <c r="J477">
        <v>108</v>
      </c>
      <c r="K477">
        <v>76</v>
      </c>
      <c r="L477">
        <v>58</v>
      </c>
      <c r="M477">
        <v>39</v>
      </c>
    </row>
    <row r="478" spans="1:13" x14ac:dyDescent="0.2">
      <c r="B478">
        <v>3.3000000000000002E-2</v>
      </c>
      <c r="C478">
        <v>604.79999999999995</v>
      </c>
      <c r="D478">
        <v>430.14</v>
      </c>
      <c r="E478">
        <v>335.98</v>
      </c>
      <c r="F478">
        <v>277.13</v>
      </c>
      <c r="G478">
        <v>207.36</v>
      </c>
      <c r="H478">
        <v>166.77</v>
      </c>
      <c r="I478">
        <v>139.69999999999999</v>
      </c>
      <c r="J478">
        <v>118.8</v>
      </c>
      <c r="K478">
        <v>84.36</v>
      </c>
      <c r="L478">
        <v>63</v>
      </c>
      <c r="M478">
        <v>44.07</v>
      </c>
    </row>
    <row r="479" spans="1:13" x14ac:dyDescent="0.2">
      <c r="B479">
        <v>0.02</v>
      </c>
      <c r="C479">
        <v>621.6</v>
      </c>
      <c r="D479">
        <v>446.22</v>
      </c>
      <c r="E479">
        <v>348.54</v>
      </c>
      <c r="F479">
        <v>287.49</v>
      </c>
      <c r="G479">
        <v>216.96</v>
      </c>
      <c r="H479">
        <v>172.89</v>
      </c>
      <c r="I479">
        <v>144.78</v>
      </c>
      <c r="J479">
        <v>123.12</v>
      </c>
      <c r="K479">
        <v>88.16</v>
      </c>
      <c r="L479">
        <v>67.28</v>
      </c>
      <c r="M479">
        <v>45.63</v>
      </c>
    </row>
    <row r="480" spans="1:13" x14ac:dyDescent="0.2">
      <c r="B480">
        <v>0.01</v>
      </c>
      <c r="C480">
        <v>655.20000000000005</v>
      </c>
      <c r="D480">
        <v>474.36</v>
      </c>
      <c r="E480">
        <v>376.8</v>
      </c>
      <c r="F480">
        <v>308.20999999999998</v>
      </c>
      <c r="G480">
        <v>232.32</v>
      </c>
      <c r="H480">
        <v>186.66</v>
      </c>
      <c r="I480">
        <v>152</v>
      </c>
      <c r="J480">
        <v>130</v>
      </c>
      <c r="K480">
        <v>90.44</v>
      </c>
      <c r="L480">
        <v>69.02</v>
      </c>
      <c r="M480">
        <v>46.41</v>
      </c>
    </row>
    <row r="481" spans="1:13" x14ac:dyDescent="0.2">
      <c r="A481">
        <v>49</v>
      </c>
      <c r="B481" t="s">
        <v>164</v>
      </c>
      <c r="E481" t="s">
        <v>117</v>
      </c>
    </row>
    <row r="482" spans="1:13" x14ac:dyDescent="0.2">
      <c r="B482" t="s">
        <v>52</v>
      </c>
      <c r="C482">
        <v>5</v>
      </c>
      <c r="D482">
        <v>10</v>
      </c>
      <c r="E482">
        <v>15</v>
      </c>
      <c r="F482">
        <v>20</v>
      </c>
      <c r="G482">
        <v>30</v>
      </c>
      <c r="H482">
        <v>40</v>
      </c>
      <c r="I482">
        <v>50</v>
      </c>
      <c r="J482">
        <v>60</v>
      </c>
      <c r="K482">
        <v>90</v>
      </c>
      <c r="L482">
        <v>120</v>
      </c>
      <c r="M482">
        <v>180</v>
      </c>
    </row>
    <row r="483" spans="1:13" x14ac:dyDescent="0.2">
      <c r="B483">
        <v>1</v>
      </c>
      <c r="C483">
        <v>238</v>
      </c>
      <c r="D483">
        <v>171</v>
      </c>
      <c r="E483">
        <v>139</v>
      </c>
      <c r="F483">
        <v>119</v>
      </c>
      <c r="G483">
        <v>94</v>
      </c>
      <c r="H483">
        <v>80</v>
      </c>
      <c r="I483">
        <v>69</v>
      </c>
      <c r="J483">
        <v>61</v>
      </c>
      <c r="K483">
        <v>46</v>
      </c>
      <c r="L483">
        <v>38</v>
      </c>
      <c r="M483">
        <v>28</v>
      </c>
    </row>
    <row r="484" spans="1:13" x14ac:dyDescent="0.2">
      <c r="B484">
        <v>0.5</v>
      </c>
      <c r="C484">
        <v>279</v>
      </c>
      <c r="D484">
        <v>203</v>
      </c>
      <c r="E484">
        <v>165</v>
      </c>
      <c r="F484">
        <v>142</v>
      </c>
      <c r="G484">
        <v>114</v>
      </c>
      <c r="H484">
        <v>96</v>
      </c>
      <c r="I484">
        <v>84</v>
      </c>
      <c r="J484">
        <v>75</v>
      </c>
      <c r="K484">
        <v>57</v>
      </c>
      <c r="L484">
        <v>47</v>
      </c>
      <c r="M484">
        <v>34</v>
      </c>
    </row>
    <row r="485" spans="1:13" x14ac:dyDescent="0.2">
      <c r="B485">
        <v>0.2</v>
      </c>
      <c r="C485">
        <v>330</v>
      </c>
      <c r="D485">
        <v>244</v>
      </c>
      <c r="E485">
        <v>200</v>
      </c>
      <c r="F485">
        <v>173</v>
      </c>
      <c r="G485">
        <v>140</v>
      </c>
      <c r="H485">
        <v>118</v>
      </c>
      <c r="I485">
        <v>103</v>
      </c>
      <c r="J485">
        <v>92</v>
      </c>
      <c r="K485">
        <v>72</v>
      </c>
      <c r="L485">
        <v>60</v>
      </c>
      <c r="M485">
        <v>44</v>
      </c>
    </row>
    <row r="486" spans="1:13" x14ac:dyDescent="0.2">
      <c r="B486">
        <v>0.1</v>
      </c>
      <c r="C486">
        <v>383</v>
      </c>
      <c r="D486">
        <v>280</v>
      </c>
      <c r="E486">
        <v>229</v>
      </c>
      <c r="F486">
        <v>197</v>
      </c>
      <c r="G486">
        <v>158</v>
      </c>
      <c r="H486">
        <v>134</v>
      </c>
      <c r="I486">
        <v>118</v>
      </c>
      <c r="J486">
        <v>107</v>
      </c>
      <c r="K486">
        <v>84</v>
      </c>
      <c r="L486">
        <v>71</v>
      </c>
      <c r="M486">
        <v>53</v>
      </c>
    </row>
    <row r="487" spans="1:13" x14ac:dyDescent="0.2">
      <c r="B487">
        <v>0.05</v>
      </c>
      <c r="C487">
        <v>438</v>
      </c>
      <c r="D487">
        <v>310</v>
      </c>
      <c r="E487">
        <v>251</v>
      </c>
      <c r="F487">
        <v>216</v>
      </c>
      <c r="G487">
        <v>174</v>
      </c>
      <c r="H487">
        <v>149</v>
      </c>
      <c r="I487">
        <v>132</v>
      </c>
      <c r="J487">
        <v>118</v>
      </c>
      <c r="K487">
        <v>94</v>
      </c>
      <c r="L487">
        <v>80</v>
      </c>
      <c r="M487">
        <v>62</v>
      </c>
    </row>
    <row r="488" spans="1:13" x14ac:dyDescent="0.2">
      <c r="B488">
        <v>3.3000000000000002E-2</v>
      </c>
      <c r="C488">
        <v>485</v>
      </c>
      <c r="D488">
        <v>338</v>
      </c>
      <c r="E488">
        <v>272</v>
      </c>
      <c r="F488">
        <v>233</v>
      </c>
      <c r="G488">
        <v>187</v>
      </c>
      <c r="H488">
        <v>159</v>
      </c>
      <c r="I488">
        <v>140</v>
      </c>
      <c r="J488">
        <v>127</v>
      </c>
      <c r="K488">
        <v>102</v>
      </c>
      <c r="L488">
        <v>87</v>
      </c>
      <c r="M488">
        <v>69</v>
      </c>
    </row>
    <row r="489" spans="1:13" x14ac:dyDescent="0.2">
      <c r="B489">
        <v>0.02</v>
      </c>
      <c r="C489">
        <v>504.4</v>
      </c>
      <c r="D489">
        <v>354.9</v>
      </c>
      <c r="E489">
        <v>288.32</v>
      </c>
      <c r="F489">
        <v>246.98</v>
      </c>
      <c r="G489">
        <v>198.22</v>
      </c>
      <c r="H489">
        <v>168.54</v>
      </c>
      <c r="I489">
        <v>148.4</v>
      </c>
      <c r="J489">
        <v>134.62</v>
      </c>
      <c r="K489">
        <v>108.12</v>
      </c>
      <c r="L489">
        <v>93.09</v>
      </c>
      <c r="M489">
        <v>73.83</v>
      </c>
    </row>
    <row r="490" spans="1:13" x14ac:dyDescent="0.2">
      <c r="B490">
        <v>0.01</v>
      </c>
      <c r="C490">
        <v>528.65</v>
      </c>
      <c r="D490">
        <v>371.8</v>
      </c>
      <c r="E490">
        <v>301.92</v>
      </c>
      <c r="F490">
        <v>258.63</v>
      </c>
      <c r="G490">
        <v>207.57</v>
      </c>
      <c r="H490">
        <v>178.08</v>
      </c>
      <c r="I490">
        <v>156.80000000000001</v>
      </c>
      <c r="J490">
        <v>142.24</v>
      </c>
      <c r="K490">
        <v>115.26</v>
      </c>
      <c r="L490">
        <v>98.31</v>
      </c>
      <c r="M490">
        <v>78.66</v>
      </c>
    </row>
    <row r="491" spans="1:13" x14ac:dyDescent="0.2">
      <c r="A491">
        <v>50</v>
      </c>
      <c r="B491" t="s">
        <v>165</v>
      </c>
      <c r="E491" t="s">
        <v>117</v>
      </c>
    </row>
    <row r="492" spans="1:13" x14ac:dyDescent="0.2">
      <c r="B492" t="s">
        <v>52</v>
      </c>
      <c r="C492">
        <v>5</v>
      </c>
      <c r="D492">
        <v>10</v>
      </c>
      <c r="E492">
        <v>15</v>
      </c>
      <c r="F492">
        <v>20</v>
      </c>
      <c r="G492">
        <v>30</v>
      </c>
      <c r="H492">
        <v>40</v>
      </c>
      <c r="I492">
        <v>50</v>
      </c>
      <c r="J492">
        <v>60</v>
      </c>
      <c r="K492">
        <v>90</v>
      </c>
      <c r="L492">
        <v>120</v>
      </c>
      <c r="M492">
        <v>180</v>
      </c>
    </row>
    <row r="493" spans="1:13" x14ac:dyDescent="0.2">
      <c r="B493">
        <v>1</v>
      </c>
      <c r="C493">
        <v>254</v>
      </c>
      <c r="D493">
        <v>171</v>
      </c>
      <c r="E493">
        <v>130</v>
      </c>
      <c r="F493">
        <v>105</v>
      </c>
      <c r="G493">
        <v>77</v>
      </c>
      <c r="H493">
        <v>61</v>
      </c>
      <c r="I493">
        <v>50</v>
      </c>
      <c r="J493">
        <v>44</v>
      </c>
      <c r="K493">
        <v>32</v>
      </c>
      <c r="L493">
        <v>25</v>
      </c>
      <c r="M493">
        <v>18</v>
      </c>
    </row>
    <row r="494" spans="1:13" x14ac:dyDescent="0.2">
      <c r="B494">
        <v>0.5</v>
      </c>
      <c r="C494">
        <v>305</v>
      </c>
      <c r="D494">
        <v>205</v>
      </c>
      <c r="E494">
        <v>157</v>
      </c>
      <c r="F494">
        <v>127</v>
      </c>
      <c r="G494">
        <v>91</v>
      </c>
      <c r="H494">
        <v>72</v>
      </c>
      <c r="I494">
        <v>60</v>
      </c>
      <c r="J494">
        <v>51</v>
      </c>
      <c r="K494">
        <v>37</v>
      </c>
      <c r="L494">
        <v>29</v>
      </c>
      <c r="M494">
        <v>21</v>
      </c>
    </row>
    <row r="495" spans="1:13" x14ac:dyDescent="0.2">
      <c r="B495">
        <v>0.2</v>
      </c>
      <c r="C495">
        <v>360</v>
      </c>
      <c r="D495">
        <v>250</v>
      </c>
      <c r="E495">
        <v>191</v>
      </c>
      <c r="F495">
        <v>155</v>
      </c>
      <c r="G495">
        <v>112</v>
      </c>
      <c r="H495">
        <v>88</v>
      </c>
      <c r="I495">
        <v>73</v>
      </c>
      <c r="J495">
        <v>62</v>
      </c>
      <c r="K495">
        <v>44</v>
      </c>
      <c r="L495">
        <v>34</v>
      </c>
      <c r="M495">
        <v>24</v>
      </c>
    </row>
    <row r="496" spans="1:13" x14ac:dyDescent="0.2">
      <c r="B496">
        <v>0.1</v>
      </c>
      <c r="C496">
        <v>403</v>
      </c>
      <c r="D496">
        <v>284</v>
      </c>
      <c r="E496">
        <v>220</v>
      </c>
      <c r="F496">
        <v>178</v>
      </c>
      <c r="G496">
        <v>130</v>
      </c>
      <c r="H496">
        <v>101</v>
      </c>
      <c r="I496">
        <v>82</v>
      </c>
      <c r="J496">
        <v>71</v>
      </c>
      <c r="K496">
        <v>50</v>
      </c>
      <c r="L496">
        <v>39</v>
      </c>
      <c r="M496">
        <v>28</v>
      </c>
    </row>
    <row r="497" spans="1:13" x14ac:dyDescent="0.2">
      <c r="B497">
        <v>0.05</v>
      </c>
      <c r="C497">
        <v>450</v>
      </c>
      <c r="D497">
        <v>315</v>
      </c>
      <c r="E497">
        <v>245</v>
      </c>
      <c r="F497">
        <v>197</v>
      </c>
      <c r="G497">
        <v>143</v>
      </c>
      <c r="H497">
        <v>112</v>
      </c>
      <c r="I497">
        <v>91</v>
      </c>
      <c r="J497">
        <v>78</v>
      </c>
      <c r="K497">
        <v>55</v>
      </c>
      <c r="L497">
        <v>43</v>
      </c>
      <c r="M497">
        <v>30</v>
      </c>
    </row>
    <row r="498" spans="1:13" x14ac:dyDescent="0.2">
      <c r="B498">
        <v>3.3000000000000002E-2</v>
      </c>
      <c r="C498">
        <v>486</v>
      </c>
      <c r="D498">
        <v>337.05</v>
      </c>
      <c r="E498">
        <v>262.14999999999998</v>
      </c>
      <c r="F498">
        <v>210.79</v>
      </c>
      <c r="G498">
        <v>154.44</v>
      </c>
      <c r="H498">
        <v>122.08</v>
      </c>
      <c r="I498">
        <v>100.1</v>
      </c>
      <c r="J498">
        <v>85.8</v>
      </c>
      <c r="K498">
        <v>61.05</v>
      </c>
      <c r="L498">
        <v>48</v>
      </c>
      <c r="M498">
        <v>33.9</v>
      </c>
    </row>
    <row r="499" spans="1:13" x14ac:dyDescent="0.2">
      <c r="B499">
        <v>0.02</v>
      </c>
      <c r="C499">
        <v>499.5</v>
      </c>
      <c r="D499">
        <v>349.65</v>
      </c>
      <c r="E499">
        <v>271.95</v>
      </c>
      <c r="F499">
        <v>218.67</v>
      </c>
      <c r="G499">
        <v>161.59</v>
      </c>
      <c r="H499">
        <v>126.56</v>
      </c>
      <c r="I499">
        <v>103.74</v>
      </c>
      <c r="J499">
        <v>88.92</v>
      </c>
      <c r="K499">
        <v>63.8</v>
      </c>
      <c r="L499">
        <v>49.88</v>
      </c>
      <c r="M499">
        <v>35.1</v>
      </c>
    </row>
    <row r="500" spans="1:13" x14ac:dyDescent="0.2">
      <c r="B500">
        <v>0.01</v>
      </c>
      <c r="C500">
        <v>526.5</v>
      </c>
      <c r="D500">
        <v>371.7</v>
      </c>
      <c r="E500">
        <v>294</v>
      </c>
      <c r="F500">
        <v>235</v>
      </c>
      <c r="G500">
        <v>172</v>
      </c>
      <c r="H500">
        <v>134</v>
      </c>
      <c r="I500">
        <v>109</v>
      </c>
      <c r="J500">
        <v>93</v>
      </c>
      <c r="K500">
        <v>65.45</v>
      </c>
      <c r="L500">
        <v>51.17</v>
      </c>
      <c r="M500">
        <v>35.700000000000003</v>
      </c>
    </row>
    <row r="501" spans="1:13" x14ac:dyDescent="0.2">
      <c r="A501">
        <v>51</v>
      </c>
      <c r="B501" t="s">
        <v>166</v>
      </c>
      <c r="E501" t="s">
        <v>117</v>
      </c>
    </row>
    <row r="502" spans="1:13" x14ac:dyDescent="0.2">
      <c r="B502" t="s">
        <v>52</v>
      </c>
      <c r="C502">
        <v>5</v>
      </c>
      <c r="D502">
        <v>10</v>
      </c>
      <c r="E502">
        <v>15</v>
      </c>
      <c r="F502">
        <v>20</v>
      </c>
      <c r="G502">
        <v>30</v>
      </c>
      <c r="H502">
        <v>40</v>
      </c>
      <c r="I502">
        <v>50</v>
      </c>
      <c r="J502">
        <v>60</v>
      </c>
      <c r="K502">
        <v>90</v>
      </c>
      <c r="L502">
        <v>120</v>
      </c>
      <c r="M502">
        <v>180</v>
      </c>
    </row>
    <row r="503" spans="1:13" x14ac:dyDescent="0.2">
      <c r="B503">
        <v>1</v>
      </c>
      <c r="C503">
        <v>214</v>
      </c>
      <c r="D503">
        <v>154</v>
      </c>
      <c r="E503">
        <v>122</v>
      </c>
      <c r="F503">
        <v>100</v>
      </c>
      <c r="G503">
        <v>77</v>
      </c>
      <c r="H503">
        <v>63</v>
      </c>
      <c r="I503">
        <v>54</v>
      </c>
      <c r="J503">
        <v>47</v>
      </c>
      <c r="K503">
        <v>34</v>
      </c>
      <c r="L503">
        <v>27</v>
      </c>
      <c r="M503">
        <v>19</v>
      </c>
    </row>
    <row r="504" spans="1:13" x14ac:dyDescent="0.2">
      <c r="B504">
        <v>0.5</v>
      </c>
      <c r="C504">
        <v>253</v>
      </c>
      <c r="D504">
        <v>188</v>
      </c>
      <c r="E504">
        <v>149</v>
      </c>
      <c r="F504">
        <v>124</v>
      </c>
      <c r="G504">
        <v>95</v>
      </c>
      <c r="H504">
        <v>78</v>
      </c>
      <c r="I504">
        <v>67</v>
      </c>
      <c r="J504">
        <v>58</v>
      </c>
      <c r="K504">
        <v>43</v>
      </c>
      <c r="L504">
        <v>34</v>
      </c>
      <c r="M504">
        <v>24</v>
      </c>
    </row>
    <row r="505" spans="1:13" x14ac:dyDescent="0.2">
      <c r="B505">
        <v>0.2</v>
      </c>
      <c r="C505">
        <v>305</v>
      </c>
      <c r="D505">
        <v>230</v>
      </c>
      <c r="E505">
        <v>183</v>
      </c>
      <c r="F505">
        <v>154</v>
      </c>
      <c r="G505">
        <v>120</v>
      </c>
      <c r="H505">
        <v>99</v>
      </c>
      <c r="I505">
        <v>85</v>
      </c>
      <c r="J505">
        <v>75</v>
      </c>
      <c r="K505">
        <v>55</v>
      </c>
      <c r="L505">
        <v>44</v>
      </c>
      <c r="M505">
        <v>31</v>
      </c>
    </row>
    <row r="506" spans="1:13" x14ac:dyDescent="0.2">
      <c r="B506">
        <v>0.1</v>
      </c>
      <c r="C506">
        <v>352</v>
      </c>
      <c r="D506">
        <v>268</v>
      </c>
      <c r="E506">
        <v>214</v>
      </c>
      <c r="F506">
        <v>180</v>
      </c>
      <c r="G506">
        <v>140</v>
      </c>
      <c r="H506">
        <v>115</v>
      </c>
      <c r="I506">
        <v>98</v>
      </c>
      <c r="J506">
        <v>86</v>
      </c>
      <c r="K506">
        <v>64</v>
      </c>
      <c r="L506">
        <v>52</v>
      </c>
      <c r="M506">
        <v>38</v>
      </c>
    </row>
    <row r="507" spans="1:13" x14ac:dyDescent="0.2">
      <c r="B507">
        <v>0.05</v>
      </c>
      <c r="C507">
        <v>400</v>
      </c>
      <c r="D507">
        <v>300</v>
      </c>
      <c r="E507">
        <v>244</v>
      </c>
      <c r="F507">
        <v>203</v>
      </c>
      <c r="G507">
        <v>154</v>
      </c>
      <c r="H507">
        <v>126</v>
      </c>
      <c r="I507">
        <v>107</v>
      </c>
      <c r="J507">
        <v>94</v>
      </c>
      <c r="K507">
        <v>70</v>
      </c>
      <c r="L507">
        <v>58</v>
      </c>
      <c r="M507">
        <v>43</v>
      </c>
    </row>
    <row r="508" spans="1:13" x14ac:dyDescent="0.2">
      <c r="B508">
        <v>3.3000000000000002E-2</v>
      </c>
      <c r="C508">
        <v>430</v>
      </c>
      <c r="D508">
        <v>326</v>
      </c>
      <c r="E508">
        <v>263</v>
      </c>
      <c r="F508">
        <v>218</v>
      </c>
      <c r="G508">
        <v>165</v>
      </c>
      <c r="H508">
        <v>134</v>
      </c>
      <c r="I508">
        <v>113</v>
      </c>
      <c r="J508">
        <v>99</v>
      </c>
      <c r="K508">
        <v>74</v>
      </c>
      <c r="L508">
        <v>61</v>
      </c>
      <c r="M508">
        <v>45</v>
      </c>
    </row>
    <row r="509" spans="1:13" x14ac:dyDescent="0.2">
      <c r="B509">
        <v>0.02</v>
      </c>
      <c r="C509">
        <v>456</v>
      </c>
      <c r="D509">
        <v>335</v>
      </c>
      <c r="E509">
        <v>268</v>
      </c>
      <c r="F509">
        <v>224</v>
      </c>
      <c r="G509">
        <v>172</v>
      </c>
      <c r="H509">
        <v>141</v>
      </c>
      <c r="I509">
        <v>119</v>
      </c>
      <c r="J509">
        <v>104</v>
      </c>
      <c r="K509">
        <v>77</v>
      </c>
      <c r="L509">
        <v>63</v>
      </c>
      <c r="M509">
        <v>47</v>
      </c>
    </row>
    <row r="510" spans="1:13" x14ac:dyDescent="0.2">
      <c r="B510">
        <v>0.01</v>
      </c>
      <c r="C510">
        <v>486</v>
      </c>
      <c r="D510">
        <v>363</v>
      </c>
      <c r="E510">
        <v>292</v>
      </c>
      <c r="F510">
        <v>247</v>
      </c>
      <c r="G510">
        <v>189</v>
      </c>
      <c r="H510">
        <v>154</v>
      </c>
      <c r="I510">
        <v>131</v>
      </c>
      <c r="J510">
        <v>114</v>
      </c>
      <c r="K510">
        <v>85</v>
      </c>
      <c r="L510">
        <v>70</v>
      </c>
      <c r="M510">
        <v>52</v>
      </c>
    </row>
    <row r="511" spans="1:13" x14ac:dyDescent="0.2">
      <c r="A511">
        <v>52</v>
      </c>
      <c r="B511" t="s">
        <v>167</v>
      </c>
      <c r="E511" t="s">
        <v>117</v>
      </c>
    </row>
    <row r="512" spans="1:13" x14ac:dyDescent="0.2">
      <c r="B512" t="s">
        <v>52</v>
      </c>
      <c r="C512">
        <v>5</v>
      </c>
      <c r="D512">
        <v>10</v>
      </c>
      <c r="E512">
        <v>15</v>
      </c>
      <c r="F512">
        <v>20</v>
      </c>
      <c r="G512">
        <v>30</v>
      </c>
      <c r="H512">
        <v>40</v>
      </c>
      <c r="I512">
        <v>50</v>
      </c>
      <c r="J512">
        <v>60</v>
      </c>
      <c r="K512">
        <v>90</v>
      </c>
      <c r="L512">
        <v>120</v>
      </c>
      <c r="M512">
        <v>180</v>
      </c>
    </row>
    <row r="513" spans="1:13" x14ac:dyDescent="0.2">
      <c r="B513">
        <v>1</v>
      </c>
      <c r="C513">
        <v>250</v>
      </c>
      <c r="D513">
        <v>169</v>
      </c>
      <c r="E513">
        <v>132</v>
      </c>
      <c r="F513">
        <v>110</v>
      </c>
      <c r="G513">
        <v>84</v>
      </c>
      <c r="H513">
        <v>68</v>
      </c>
      <c r="I513">
        <v>57</v>
      </c>
      <c r="J513">
        <v>50</v>
      </c>
      <c r="K513">
        <v>35</v>
      </c>
      <c r="L513">
        <v>27</v>
      </c>
      <c r="M513">
        <v>17</v>
      </c>
    </row>
    <row r="514" spans="1:13" x14ac:dyDescent="0.2">
      <c r="B514">
        <v>0.5</v>
      </c>
      <c r="C514">
        <v>298</v>
      </c>
      <c r="D514">
        <v>204</v>
      </c>
      <c r="E514">
        <v>160</v>
      </c>
      <c r="F514">
        <v>134</v>
      </c>
      <c r="G514">
        <v>102</v>
      </c>
      <c r="H514">
        <v>84</v>
      </c>
      <c r="I514">
        <v>71</v>
      </c>
      <c r="J514">
        <v>62</v>
      </c>
      <c r="K514">
        <v>44</v>
      </c>
      <c r="L514">
        <v>34</v>
      </c>
      <c r="M514">
        <v>24</v>
      </c>
    </row>
    <row r="515" spans="1:13" x14ac:dyDescent="0.2">
      <c r="B515">
        <v>0.2</v>
      </c>
      <c r="C515">
        <v>357</v>
      </c>
      <c r="D515">
        <v>249</v>
      </c>
      <c r="E515">
        <v>198</v>
      </c>
      <c r="F515">
        <v>167</v>
      </c>
      <c r="G515">
        <v>129</v>
      </c>
      <c r="H515">
        <v>107</v>
      </c>
      <c r="I515">
        <v>91</v>
      </c>
      <c r="J515">
        <v>80</v>
      </c>
      <c r="K515">
        <v>58</v>
      </c>
      <c r="L515">
        <v>46</v>
      </c>
      <c r="M515">
        <v>31</v>
      </c>
    </row>
    <row r="516" spans="1:13" x14ac:dyDescent="0.2">
      <c r="B516">
        <v>0.1</v>
      </c>
      <c r="C516">
        <v>402</v>
      </c>
      <c r="D516">
        <v>284</v>
      </c>
      <c r="E516">
        <v>227</v>
      </c>
      <c r="F516">
        <v>192</v>
      </c>
      <c r="G516">
        <v>150</v>
      </c>
      <c r="H516">
        <v>125</v>
      </c>
      <c r="I516">
        <v>107</v>
      </c>
      <c r="J516">
        <v>93</v>
      </c>
      <c r="K516">
        <v>69</v>
      </c>
      <c r="L516">
        <v>54</v>
      </c>
      <c r="M516">
        <v>38</v>
      </c>
    </row>
    <row r="517" spans="1:13" x14ac:dyDescent="0.2">
      <c r="B517">
        <v>0.05</v>
      </c>
      <c r="C517">
        <v>440</v>
      </c>
      <c r="D517">
        <v>312</v>
      </c>
      <c r="E517">
        <v>252</v>
      </c>
      <c r="F517">
        <v>213</v>
      </c>
      <c r="G517">
        <v>168</v>
      </c>
      <c r="H517">
        <v>140</v>
      </c>
      <c r="I517">
        <v>121</v>
      </c>
      <c r="J517">
        <v>107</v>
      </c>
      <c r="K517">
        <v>79</v>
      </c>
      <c r="L517">
        <v>62</v>
      </c>
      <c r="M517">
        <v>42</v>
      </c>
    </row>
    <row r="518" spans="1:13" x14ac:dyDescent="0.2">
      <c r="B518">
        <v>3.3000000000000002E-2</v>
      </c>
      <c r="C518">
        <v>475.2</v>
      </c>
      <c r="D518">
        <v>333.84</v>
      </c>
      <c r="E518">
        <v>269.64</v>
      </c>
      <c r="F518">
        <v>227.91</v>
      </c>
      <c r="G518">
        <v>181.44</v>
      </c>
      <c r="H518">
        <v>152.6</v>
      </c>
      <c r="I518">
        <v>133.1</v>
      </c>
      <c r="J518">
        <v>117.7</v>
      </c>
      <c r="K518">
        <v>87.69</v>
      </c>
      <c r="L518">
        <v>68</v>
      </c>
      <c r="M518">
        <v>47.46</v>
      </c>
    </row>
    <row r="519" spans="1:13" x14ac:dyDescent="0.2">
      <c r="B519">
        <v>0.02</v>
      </c>
      <c r="C519">
        <v>488.4</v>
      </c>
      <c r="D519">
        <v>346.32</v>
      </c>
      <c r="E519">
        <v>279.72000000000003</v>
      </c>
      <c r="F519">
        <v>236.43</v>
      </c>
      <c r="G519">
        <v>189.84</v>
      </c>
      <c r="H519">
        <v>158.19999999999999</v>
      </c>
      <c r="I519">
        <v>137.94</v>
      </c>
      <c r="J519">
        <v>121.98</v>
      </c>
      <c r="K519">
        <v>91.64</v>
      </c>
      <c r="L519">
        <v>71.92</v>
      </c>
      <c r="M519">
        <v>49.14</v>
      </c>
    </row>
    <row r="520" spans="1:13" x14ac:dyDescent="0.2">
      <c r="B520">
        <v>0.01</v>
      </c>
      <c r="C520">
        <v>514.79999999999995</v>
      </c>
      <c r="D520">
        <v>368.16</v>
      </c>
      <c r="E520">
        <v>302.39999999999998</v>
      </c>
      <c r="F520">
        <v>255</v>
      </c>
      <c r="G520">
        <v>203.28</v>
      </c>
      <c r="H520">
        <v>170.8</v>
      </c>
      <c r="I520">
        <v>146</v>
      </c>
      <c r="J520">
        <v>128</v>
      </c>
      <c r="K520">
        <v>94.01</v>
      </c>
      <c r="L520">
        <v>73.78</v>
      </c>
      <c r="M520">
        <v>49.98</v>
      </c>
    </row>
    <row r="521" spans="1:13" x14ac:dyDescent="0.2">
      <c r="A521">
        <v>53</v>
      </c>
      <c r="B521" t="s">
        <v>168</v>
      </c>
      <c r="E521" t="s">
        <v>117</v>
      </c>
    </row>
    <row r="522" spans="1:13" x14ac:dyDescent="0.2">
      <c r="B522" t="s">
        <v>52</v>
      </c>
      <c r="C522">
        <v>5</v>
      </c>
      <c r="D522">
        <v>10</v>
      </c>
      <c r="E522">
        <v>15</v>
      </c>
      <c r="F522">
        <v>20</v>
      </c>
      <c r="G522">
        <v>30</v>
      </c>
      <c r="H522">
        <v>40</v>
      </c>
      <c r="I522">
        <v>50</v>
      </c>
      <c r="J522">
        <v>60</v>
      </c>
      <c r="K522">
        <v>90</v>
      </c>
      <c r="L522">
        <v>120</v>
      </c>
      <c r="M522">
        <v>180</v>
      </c>
    </row>
    <row r="523" spans="1:13" x14ac:dyDescent="0.2">
      <c r="B523">
        <v>1</v>
      </c>
      <c r="C523">
        <v>272</v>
      </c>
      <c r="D523">
        <v>187</v>
      </c>
      <c r="E523">
        <v>142</v>
      </c>
      <c r="F523">
        <v>116</v>
      </c>
      <c r="G523">
        <v>87</v>
      </c>
      <c r="H523">
        <v>68</v>
      </c>
      <c r="I523">
        <v>56</v>
      </c>
      <c r="J523">
        <v>48</v>
      </c>
      <c r="K523">
        <v>34</v>
      </c>
      <c r="L523">
        <v>26</v>
      </c>
      <c r="M523">
        <v>17</v>
      </c>
    </row>
    <row r="524" spans="1:13" x14ac:dyDescent="0.2">
      <c r="B524">
        <v>0.5</v>
      </c>
      <c r="C524">
        <v>338</v>
      </c>
      <c r="D524">
        <v>232</v>
      </c>
      <c r="E524">
        <v>176</v>
      </c>
      <c r="F524">
        <v>143</v>
      </c>
      <c r="G524">
        <v>106</v>
      </c>
      <c r="H524">
        <v>85</v>
      </c>
      <c r="I524">
        <v>71</v>
      </c>
      <c r="J524">
        <v>60</v>
      </c>
      <c r="K524">
        <v>43</v>
      </c>
      <c r="L524">
        <v>33</v>
      </c>
      <c r="M524">
        <v>22</v>
      </c>
    </row>
    <row r="525" spans="1:13" x14ac:dyDescent="0.2">
      <c r="B525">
        <v>0.2</v>
      </c>
      <c r="C525">
        <v>382</v>
      </c>
      <c r="D525">
        <v>277</v>
      </c>
      <c r="E525">
        <v>219</v>
      </c>
      <c r="F525">
        <v>181</v>
      </c>
      <c r="G525">
        <v>137</v>
      </c>
      <c r="H525">
        <v>111</v>
      </c>
      <c r="I525">
        <v>92</v>
      </c>
      <c r="J525">
        <v>80</v>
      </c>
      <c r="K525">
        <v>56</v>
      </c>
      <c r="L525">
        <v>44</v>
      </c>
      <c r="M525">
        <v>30</v>
      </c>
    </row>
    <row r="526" spans="1:13" x14ac:dyDescent="0.2">
      <c r="B526">
        <v>0.1</v>
      </c>
      <c r="C526">
        <v>429</v>
      </c>
      <c r="D526">
        <v>309</v>
      </c>
      <c r="E526">
        <v>247</v>
      </c>
      <c r="F526">
        <v>205</v>
      </c>
      <c r="G526">
        <v>157</v>
      </c>
      <c r="H526">
        <v>129</v>
      </c>
      <c r="I526">
        <v>108</v>
      </c>
      <c r="J526">
        <v>94</v>
      </c>
      <c r="K526">
        <v>67</v>
      </c>
      <c r="L526">
        <v>52</v>
      </c>
      <c r="M526">
        <v>39</v>
      </c>
    </row>
    <row r="527" spans="1:13" x14ac:dyDescent="0.2">
      <c r="B527">
        <v>0.05</v>
      </c>
      <c r="C527">
        <v>467</v>
      </c>
      <c r="D527">
        <v>344</v>
      </c>
      <c r="E527">
        <v>276</v>
      </c>
      <c r="F527">
        <v>235</v>
      </c>
      <c r="G527">
        <v>181</v>
      </c>
      <c r="H527">
        <v>147</v>
      </c>
      <c r="I527">
        <v>123</v>
      </c>
      <c r="J527">
        <v>108</v>
      </c>
      <c r="K527">
        <v>77</v>
      </c>
      <c r="L527">
        <v>60</v>
      </c>
      <c r="M527">
        <v>42</v>
      </c>
    </row>
    <row r="528" spans="1:13" x14ac:dyDescent="0.2">
      <c r="B528">
        <v>3.3000000000000002E-2</v>
      </c>
      <c r="C528">
        <v>490</v>
      </c>
      <c r="D528">
        <v>365</v>
      </c>
      <c r="E528">
        <v>293</v>
      </c>
      <c r="F528">
        <v>248</v>
      </c>
      <c r="G528">
        <v>190</v>
      </c>
      <c r="H528">
        <v>157</v>
      </c>
      <c r="I528">
        <v>138</v>
      </c>
      <c r="J528">
        <v>116</v>
      </c>
      <c r="K528">
        <v>84</v>
      </c>
      <c r="L528">
        <v>66</v>
      </c>
      <c r="M528">
        <v>46</v>
      </c>
    </row>
    <row r="529" spans="1:13" x14ac:dyDescent="0.2">
      <c r="B529">
        <v>0.02</v>
      </c>
      <c r="C529">
        <v>509.6</v>
      </c>
      <c r="D529">
        <v>383.25</v>
      </c>
      <c r="E529">
        <v>310.58</v>
      </c>
      <c r="F529">
        <v>262.88</v>
      </c>
      <c r="G529">
        <v>201.4</v>
      </c>
      <c r="H529">
        <v>166.42</v>
      </c>
      <c r="I529">
        <v>146.28</v>
      </c>
      <c r="J529">
        <v>122.96</v>
      </c>
      <c r="K529">
        <v>89.04</v>
      </c>
      <c r="L529">
        <v>70.62</v>
      </c>
      <c r="M529">
        <v>49.22</v>
      </c>
    </row>
    <row r="530" spans="1:13" x14ac:dyDescent="0.2">
      <c r="B530">
        <v>0.01</v>
      </c>
      <c r="C530">
        <v>534.1</v>
      </c>
      <c r="D530">
        <v>401.5</v>
      </c>
      <c r="E530">
        <v>325.23</v>
      </c>
      <c r="F530">
        <v>275.27999999999997</v>
      </c>
      <c r="G530">
        <v>210.9</v>
      </c>
      <c r="H530">
        <v>175.84</v>
      </c>
      <c r="I530">
        <v>150</v>
      </c>
      <c r="J530">
        <v>132</v>
      </c>
      <c r="K530">
        <v>95</v>
      </c>
      <c r="L530">
        <v>74.58</v>
      </c>
      <c r="M530">
        <v>52.44</v>
      </c>
    </row>
    <row r="531" spans="1:13" x14ac:dyDescent="0.2">
      <c r="A531">
        <v>54</v>
      </c>
      <c r="B531" t="s">
        <v>169</v>
      </c>
      <c r="E531" t="s">
        <v>117</v>
      </c>
    </row>
    <row r="532" spans="1:13" x14ac:dyDescent="0.2">
      <c r="B532" t="s">
        <v>52</v>
      </c>
      <c r="C532">
        <v>5</v>
      </c>
      <c r="D532">
        <v>10</v>
      </c>
      <c r="E532">
        <v>15</v>
      </c>
      <c r="F532">
        <v>20</v>
      </c>
      <c r="G532">
        <v>30</v>
      </c>
      <c r="H532">
        <v>40</v>
      </c>
      <c r="I532">
        <v>50</v>
      </c>
      <c r="J532">
        <v>60</v>
      </c>
      <c r="K532">
        <v>90</v>
      </c>
      <c r="L532">
        <v>120</v>
      </c>
      <c r="M532">
        <v>180</v>
      </c>
    </row>
    <row r="533" spans="1:13" x14ac:dyDescent="0.2">
      <c r="B533">
        <v>1</v>
      </c>
      <c r="C533">
        <v>259</v>
      </c>
      <c r="D533">
        <v>174</v>
      </c>
      <c r="E533">
        <v>135</v>
      </c>
      <c r="F533">
        <v>112</v>
      </c>
      <c r="G533">
        <v>85</v>
      </c>
      <c r="H533">
        <v>69</v>
      </c>
      <c r="I533">
        <v>59</v>
      </c>
      <c r="J533">
        <v>52</v>
      </c>
      <c r="K533">
        <v>38</v>
      </c>
      <c r="L533">
        <v>30</v>
      </c>
      <c r="M533">
        <v>21</v>
      </c>
    </row>
    <row r="534" spans="1:13" x14ac:dyDescent="0.2">
      <c r="B534">
        <v>0.5</v>
      </c>
      <c r="C534">
        <v>303</v>
      </c>
      <c r="D534">
        <v>208</v>
      </c>
      <c r="E534">
        <v>163</v>
      </c>
      <c r="F534">
        <v>137</v>
      </c>
      <c r="G534">
        <v>106</v>
      </c>
      <c r="H534">
        <v>87</v>
      </c>
      <c r="I534">
        <v>75</v>
      </c>
      <c r="J534">
        <v>66</v>
      </c>
      <c r="K534">
        <v>48</v>
      </c>
      <c r="L534">
        <v>39</v>
      </c>
      <c r="M534">
        <v>27</v>
      </c>
    </row>
    <row r="535" spans="1:13" x14ac:dyDescent="0.2">
      <c r="B535">
        <v>0.2</v>
      </c>
      <c r="C535">
        <v>360</v>
      </c>
      <c r="D535">
        <v>253</v>
      </c>
      <c r="E535">
        <v>202</v>
      </c>
      <c r="F535">
        <v>171</v>
      </c>
      <c r="G535">
        <v>134</v>
      </c>
      <c r="H535">
        <v>112</v>
      </c>
      <c r="I535">
        <v>96</v>
      </c>
      <c r="J535">
        <v>85</v>
      </c>
      <c r="K535">
        <v>64</v>
      </c>
      <c r="L535">
        <v>52</v>
      </c>
      <c r="M535">
        <v>38</v>
      </c>
    </row>
    <row r="536" spans="1:13" x14ac:dyDescent="0.2">
      <c r="B536">
        <v>0.1</v>
      </c>
      <c r="C536">
        <v>399</v>
      </c>
      <c r="D536">
        <v>282</v>
      </c>
      <c r="E536">
        <v>227</v>
      </c>
      <c r="F536">
        <v>193</v>
      </c>
      <c r="G536">
        <v>153</v>
      </c>
      <c r="H536">
        <v>128</v>
      </c>
      <c r="I536">
        <v>112</v>
      </c>
      <c r="J536">
        <v>100</v>
      </c>
      <c r="K536">
        <v>76</v>
      </c>
      <c r="L536">
        <v>62</v>
      </c>
      <c r="M536">
        <v>46</v>
      </c>
    </row>
    <row r="537" spans="1:13" x14ac:dyDescent="0.2">
      <c r="B537">
        <v>0.05</v>
      </c>
      <c r="C537">
        <v>425</v>
      </c>
      <c r="D537">
        <v>302</v>
      </c>
      <c r="E537">
        <v>244</v>
      </c>
      <c r="F537">
        <v>209</v>
      </c>
      <c r="G537">
        <v>168</v>
      </c>
      <c r="H537">
        <v>143</v>
      </c>
      <c r="I537">
        <v>126</v>
      </c>
      <c r="J537">
        <v>112</v>
      </c>
      <c r="K537">
        <v>87</v>
      </c>
      <c r="L537">
        <v>72</v>
      </c>
      <c r="M537">
        <v>54</v>
      </c>
    </row>
    <row r="538" spans="1:13" x14ac:dyDescent="0.2">
      <c r="B538">
        <v>3.3000000000000002E-2</v>
      </c>
      <c r="C538">
        <v>442</v>
      </c>
      <c r="D538">
        <v>317</v>
      </c>
      <c r="E538">
        <v>257</v>
      </c>
      <c r="F538">
        <v>221</v>
      </c>
      <c r="G538">
        <v>177</v>
      </c>
      <c r="H538">
        <v>151</v>
      </c>
      <c r="I538">
        <v>133</v>
      </c>
      <c r="J538">
        <v>119</v>
      </c>
      <c r="K538">
        <v>92</v>
      </c>
      <c r="L538">
        <v>77</v>
      </c>
      <c r="M538">
        <v>58</v>
      </c>
    </row>
    <row r="539" spans="1:13" x14ac:dyDescent="0.2">
      <c r="B539">
        <v>0.02</v>
      </c>
      <c r="C539">
        <v>454</v>
      </c>
      <c r="D539">
        <v>332</v>
      </c>
      <c r="E539">
        <v>273</v>
      </c>
      <c r="F539">
        <v>235</v>
      </c>
      <c r="G539">
        <v>189</v>
      </c>
      <c r="H539">
        <v>162</v>
      </c>
      <c r="I539">
        <v>141</v>
      </c>
      <c r="J539">
        <v>127</v>
      </c>
      <c r="K539">
        <v>98</v>
      </c>
      <c r="L539">
        <v>82</v>
      </c>
      <c r="M539">
        <v>63</v>
      </c>
    </row>
    <row r="540" spans="1:13" x14ac:dyDescent="0.2">
      <c r="B540">
        <v>0.01</v>
      </c>
      <c r="C540">
        <v>476.7</v>
      </c>
      <c r="D540">
        <v>348.6</v>
      </c>
      <c r="E540">
        <v>286.64999999999998</v>
      </c>
      <c r="F540">
        <v>246.75</v>
      </c>
      <c r="G540">
        <v>198.45</v>
      </c>
      <c r="H540">
        <v>170.1</v>
      </c>
      <c r="I540">
        <v>148.05000000000001</v>
      </c>
      <c r="J540">
        <v>134.62</v>
      </c>
      <c r="K540">
        <v>103.88</v>
      </c>
      <c r="L540">
        <v>86.92</v>
      </c>
      <c r="M540">
        <v>67.41</v>
      </c>
    </row>
    <row r="541" spans="1:13" x14ac:dyDescent="0.2">
      <c r="A541">
        <v>55</v>
      </c>
      <c r="B541" t="s">
        <v>170</v>
      </c>
      <c r="E541" t="s">
        <v>117</v>
      </c>
    </row>
    <row r="542" spans="1:13" x14ac:dyDescent="0.2">
      <c r="B542" t="s">
        <v>52</v>
      </c>
      <c r="C542">
        <v>5</v>
      </c>
      <c r="D542">
        <v>10</v>
      </c>
      <c r="E542">
        <v>15</v>
      </c>
      <c r="F542">
        <v>20</v>
      </c>
      <c r="G542">
        <v>30</v>
      </c>
      <c r="H542">
        <v>40</v>
      </c>
      <c r="I542">
        <v>50</v>
      </c>
      <c r="J542">
        <v>60</v>
      </c>
      <c r="K542">
        <v>90</v>
      </c>
      <c r="L542">
        <v>120</v>
      </c>
      <c r="M542">
        <v>180</v>
      </c>
    </row>
    <row r="543" spans="1:13" x14ac:dyDescent="0.2">
      <c r="B543">
        <v>1</v>
      </c>
      <c r="C543">
        <v>228</v>
      </c>
      <c r="D543">
        <v>157</v>
      </c>
      <c r="E543">
        <v>120</v>
      </c>
      <c r="F543">
        <v>98</v>
      </c>
      <c r="G543">
        <v>74</v>
      </c>
      <c r="H543">
        <v>59</v>
      </c>
      <c r="I543">
        <v>49</v>
      </c>
      <c r="J543">
        <v>42</v>
      </c>
      <c r="K543">
        <v>30</v>
      </c>
      <c r="L543">
        <v>24</v>
      </c>
      <c r="M543">
        <v>17</v>
      </c>
    </row>
    <row r="544" spans="1:13" x14ac:dyDescent="0.2">
      <c r="B544">
        <v>0.5</v>
      </c>
      <c r="C544">
        <v>275</v>
      </c>
      <c r="D544">
        <v>192</v>
      </c>
      <c r="E544">
        <v>149</v>
      </c>
      <c r="F544">
        <v>123</v>
      </c>
      <c r="G544">
        <v>94</v>
      </c>
      <c r="H544">
        <v>76</v>
      </c>
      <c r="I544">
        <v>64</v>
      </c>
      <c r="J544">
        <v>55</v>
      </c>
      <c r="K544">
        <v>39</v>
      </c>
      <c r="L544">
        <v>30</v>
      </c>
      <c r="M544">
        <v>21</v>
      </c>
    </row>
    <row r="545" spans="1:13" x14ac:dyDescent="0.2">
      <c r="B545">
        <v>0.2</v>
      </c>
      <c r="C545">
        <v>330</v>
      </c>
      <c r="D545">
        <v>237</v>
      </c>
      <c r="E545">
        <v>185</v>
      </c>
      <c r="F545">
        <v>155</v>
      </c>
      <c r="G545">
        <v>120</v>
      </c>
      <c r="H545">
        <v>98</v>
      </c>
      <c r="I545">
        <v>84</v>
      </c>
      <c r="J545">
        <v>72</v>
      </c>
      <c r="K545">
        <v>50</v>
      </c>
      <c r="L545">
        <v>39</v>
      </c>
      <c r="M545">
        <v>27</v>
      </c>
    </row>
    <row r="546" spans="1:13" x14ac:dyDescent="0.2">
      <c r="B546">
        <v>0.1</v>
      </c>
      <c r="C546">
        <v>363</v>
      </c>
      <c r="D546">
        <v>270</v>
      </c>
      <c r="E546">
        <v>217</v>
      </c>
      <c r="F546">
        <v>183</v>
      </c>
      <c r="G546">
        <v>143</v>
      </c>
      <c r="H546">
        <v>120</v>
      </c>
      <c r="I546">
        <v>102</v>
      </c>
      <c r="J546">
        <v>89</v>
      </c>
      <c r="K546">
        <v>63</v>
      </c>
      <c r="L546">
        <v>48</v>
      </c>
      <c r="M546">
        <v>34</v>
      </c>
    </row>
    <row r="547" spans="1:13" x14ac:dyDescent="0.2">
      <c r="B547">
        <v>0.05</v>
      </c>
      <c r="C547">
        <v>400</v>
      </c>
      <c r="D547">
        <v>310</v>
      </c>
      <c r="E547">
        <v>253</v>
      </c>
      <c r="F547">
        <v>215</v>
      </c>
      <c r="G547">
        <v>170</v>
      </c>
      <c r="H547">
        <v>144</v>
      </c>
      <c r="I547">
        <v>123</v>
      </c>
      <c r="J547">
        <v>107</v>
      </c>
      <c r="K547">
        <v>75</v>
      </c>
      <c r="L547">
        <v>57</v>
      </c>
      <c r="M547">
        <v>39</v>
      </c>
    </row>
    <row r="548" spans="1:13" x14ac:dyDescent="0.2">
      <c r="B548">
        <v>3.3000000000000002E-2</v>
      </c>
      <c r="C548">
        <v>431</v>
      </c>
      <c r="D548">
        <v>338</v>
      </c>
      <c r="E548">
        <v>281</v>
      </c>
      <c r="F548">
        <v>242</v>
      </c>
      <c r="G548">
        <v>192</v>
      </c>
      <c r="H548">
        <v>158</v>
      </c>
      <c r="I548">
        <v>135</v>
      </c>
      <c r="J548">
        <v>118</v>
      </c>
      <c r="K548">
        <v>84</v>
      </c>
      <c r="L548">
        <v>65</v>
      </c>
      <c r="M548">
        <v>44</v>
      </c>
    </row>
    <row r="549" spans="1:13" x14ac:dyDescent="0.2">
      <c r="B549">
        <v>0.02</v>
      </c>
      <c r="C549">
        <v>463</v>
      </c>
      <c r="D549">
        <v>362</v>
      </c>
      <c r="E549">
        <v>302</v>
      </c>
      <c r="F549">
        <v>262</v>
      </c>
      <c r="G549">
        <v>205</v>
      </c>
      <c r="H549">
        <v>170</v>
      </c>
      <c r="I549">
        <v>146</v>
      </c>
      <c r="J549">
        <v>127</v>
      </c>
      <c r="K549">
        <v>93</v>
      </c>
      <c r="L549">
        <v>73</v>
      </c>
      <c r="M549">
        <v>49</v>
      </c>
    </row>
    <row r="550" spans="1:13" x14ac:dyDescent="0.2">
      <c r="B550">
        <v>0.01</v>
      </c>
      <c r="C550">
        <v>510</v>
      </c>
      <c r="D550">
        <v>415</v>
      </c>
      <c r="E550">
        <v>342</v>
      </c>
      <c r="F550">
        <v>293</v>
      </c>
      <c r="G550">
        <v>232</v>
      </c>
      <c r="H550">
        <v>192</v>
      </c>
      <c r="I550">
        <v>165</v>
      </c>
      <c r="J550">
        <v>145</v>
      </c>
      <c r="K550">
        <v>107</v>
      </c>
      <c r="L550">
        <v>84</v>
      </c>
      <c r="M550">
        <v>58</v>
      </c>
    </row>
    <row r="551" spans="1:13" x14ac:dyDescent="0.2">
      <c r="A551">
        <v>56</v>
      </c>
      <c r="B551" t="s">
        <v>171</v>
      </c>
      <c r="E551" t="s">
        <v>117</v>
      </c>
    </row>
    <row r="552" spans="1:13" x14ac:dyDescent="0.2">
      <c r="B552" t="s">
        <v>52</v>
      </c>
      <c r="C552">
        <v>5</v>
      </c>
      <c r="D552">
        <v>10</v>
      </c>
      <c r="E552">
        <v>15</v>
      </c>
      <c r="F552">
        <v>20</v>
      </c>
      <c r="G552">
        <v>30</v>
      </c>
      <c r="H552">
        <v>40</v>
      </c>
      <c r="I552">
        <v>50</v>
      </c>
      <c r="J552">
        <v>60</v>
      </c>
      <c r="K552">
        <v>90</v>
      </c>
      <c r="L552">
        <v>120</v>
      </c>
      <c r="M552">
        <v>180</v>
      </c>
    </row>
    <row r="553" spans="1:13" x14ac:dyDescent="0.2">
      <c r="B553">
        <v>1</v>
      </c>
      <c r="C553">
        <v>280</v>
      </c>
      <c r="D553">
        <v>186</v>
      </c>
      <c r="E553">
        <v>144</v>
      </c>
      <c r="F553">
        <v>120</v>
      </c>
      <c r="G553">
        <v>91</v>
      </c>
      <c r="H553">
        <v>75</v>
      </c>
      <c r="I553">
        <v>64</v>
      </c>
      <c r="J553">
        <v>55</v>
      </c>
      <c r="K553">
        <v>40</v>
      </c>
      <c r="L553">
        <v>32</v>
      </c>
      <c r="M553">
        <v>22</v>
      </c>
    </row>
    <row r="554" spans="1:13" x14ac:dyDescent="0.2">
      <c r="B554">
        <v>0.5</v>
      </c>
      <c r="C554">
        <v>340</v>
      </c>
      <c r="D554">
        <v>230</v>
      </c>
      <c r="E554">
        <v>180</v>
      </c>
      <c r="F554">
        <v>150</v>
      </c>
      <c r="G554">
        <v>115</v>
      </c>
      <c r="H554">
        <v>94</v>
      </c>
      <c r="I554">
        <v>80</v>
      </c>
      <c r="J554">
        <v>70</v>
      </c>
      <c r="K554">
        <v>51</v>
      </c>
      <c r="L554">
        <v>41</v>
      </c>
      <c r="M554">
        <v>31</v>
      </c>
    </row>
    <row r="555" spans="1:13" x14ac:dyDescent="0.2">
      <c r="B555">
        <v>0.2</v>
      </c>
      <c r="C555">
        <v>420</v>
      </c>
      <c r="D555">
        <v>293</v>
      </c>
      <c r="E555">
        <v>232</v>
      </c>
      <c r="F555">
        <v>195</v>
      </c>
      <c r="G555">
        <v>151</v>
      </c>
      <c r="H555">
        <v>124</v>
      </c>
      <c r="I555">
        <v>106</v>
      </c>
      <c r="J555">
        <v>93</v>
      </c>
      <c r="K555">
        <v>69</v>
      </c>
      <c r="L555">
        <v>56</v>
      </c>
      <c r="M555">
        <v>40</v>
      </c>
    </row>
    <row r="556" spans="1:13" x14ac:dyDescent="0.2">
      <c r="B556">
        <v>0.1</v>
      </c>
      <c r="C556">
        <v>473</v>
      </c>
      <c r="D556">
        <v>340</v>
      </c>
      <c r="E556">
        <v>269</v>
      </c>
      <c r="F556">
        <v>228</v>
      </c>
      <c r="G556">
        <v>176</v>
      </c>
      <c r="H556">
        <v>145</v>
      </c>
      <c r="I556">
        <v>124</v>
      </c>
      <c r="J556">
        <v>108</v>
      </c>
      <c r="K556">
        <v>80</v>
      </c>
      <c r="L556">
        <v>64</v>
      </c>
      <c r="M556">
        <v>46</v>
      </c>
    </row>
    <row r="557" spans="1:13" x14ac:dyDescent="0.2">
      <c r="B557">
        <v>0.05</v>
      </c>
      <c r="C557">
        <v>540</v>
      </c>
      <c r="D557">
        <v>385</v>
      </c>
      <c r="E557">
        <v>307</v>
      </c>
      <c r="F557">
        <v>260</v>
      </c>
      <c r="G557">
        <v>203</v>
      </c>
      <c r="H557">
        <v>169</v>
      </c>
      <c r="I557">
        <v>145</v>
      </c>
      <c r="J557">
        <v>127</v>
      </c>
      <c r="K557">
        <v>93</v>
      </c>
      <c r="L557">
        <v>75</v>
      </c>
      <c r="M557">
        <v>53</v>
      </c>
    </row>
    <row r="558" spans="1:13" x14ac:dyDescent="0.2">
      <c r="B558">
        <v>3.3000000000000002E-2</v>
      </c>
      <c r="C558">
        <v>570</v>
      </c>
      <c r="D558">
        <v>420</v>
      </c>
      <c r="E558">
        <v>332</v>
      </c>
      <c r="F558">
        <v>280</v>
      </c>
      <c r="G558">
        <v>217</v>
      </c>
      <c r="H558">
        <v>180</v>
      </c>
      <c r="I558">
        <v>152</v>
      </c>
      <c r="J558">
        <v>134</v>
      </c>
      <c r="K558">
        <v>99</v>
      </c>
      <c r="L558">
        <v>80</v>
      </c>
      <c r="M558">
        <v>57</v>
      </c>
    </row>
    <row r="559" spans="1:13" x14ac:dyDescent="0.2">
      <c r="B559">
        <v>0.02</v>
      </c>
      <c r="C559">
        <v>592.79999999999995</v>
      </c>
      <c r="D559">
        <v>441</v>
      </c>
      <c r="E559">
        <v>351.92</v>
      </c>
      <c r="F559">
        <v>296.8</v>
      </c>
      <c r="G559">
        <v>230.02</v>
      </c>
      <c r="H559">
        <v>190.8</v>
      </c>
      <c r="I559">
        <v>161.12</v>
      </c>
      <c r="J559">
        <v>142.04</v>
      </c>
      <c r="K559">
        <v>104.94</v>
      </c>
      <c r="L559">
        <v>85.6</v>
      </c>
      <c r="M559">
        <v>60.99</v>
      </c>
    </row>
    <row r="560" spans="1:13" x14ac:dyDescent="0.2">
      <c r="B560">
        <v>0.01</v>
      </c>
      <c r="C560">
        <v>621.29999999999995</v>
      </c>
      <c r="D560">
        <v>462</v>
      </c>
      <c r="E560">
        <v>368.52</v>
      </c>
      <c r="F560">
        <v>310.8</v>
      </c>
      <c r="G560">
        <v>240.87</v>
      </c>
      <c r="H560">
        <v>201.6</v>
      </c>
      <c r="I560">
        <v>170.24</v>
      </c>
      <c r="J560">
        <v>150.08000000000001</v>
      </c>
      <c r="K560">
        <v>111.87</v>
      </c>
      <c r="L560">
        <v>90.4</v>
      </c>
      <c r="M560">
        <v>64.98</v>
      </c>
    </row>
    <row r="561" spans="1:13" x14ac:dyDescent="0.2">
      <c r="A561">
        <v>57</v>
      </c>
      <c r="B561" t="s">
        <v>172</v>
      </c>
      <c r="E561" t="s">
        <v>117</v>
      </c>
    </row>
    <row r="562" spans="1:13" x14ac:dyDescent="0.2">
      <c r="B562" t="s">
        <v>52</v>
      </c>
      <c r="C562">
        <v>5</v>
      </c>
      <c r="D562">
        <v>10</v>
      </c>
      <c r="E562">
        <v>15</v>
      </c>
      <c r="F562">
        <v>20</v>
      </c>
      <c r="G562">
        <v>30</v>
      </c>
      <c r="H562">
        <v>40</v>
      </c>
      <c r="I562">
        <v>50</v>
      </c>
      <c r="J562">
        <v>60</v>
      </c>
      <c r="K562">
        <v>90</v>
      </c>
      <c r="L562">
        <v>120</v>
      </c>
      <c r="M562">
        <v>180</v>
      </c>
    </row>
    <row r="563" spans="1:13" x14ac:dyDescent="0.2">
      <c r="B563">
        <v>1</v>
      </c>
      <c r="C563">
        <v>260</v>
      </c>
      <c r="D563">
        <v>182</v>
      </c>
      <c r="E563">
        <v>144</v>
      </c>
      <c r="F563">
        <v>118</v>
      </c>
      <c r="G563">
        <v>90</v>
      </c>
      <c r="H563">
        <v>74</v>
      </c>
      <c r="I563">
        <v>62</v>
      </c>
      <c r="J563">
        <v>54</v>
      </c>
      <c r="K563">
        <v>39</v>
      </c>
      <c r="L563">
        <v>31</v>
      </c>
      <c r="M563">
        <v>22</v>
      </c>
    </row>
    <row r="564" spans="1:13" x14ac:dyDescent="0.2">
      <c r="B564">
        <v>0.5</v>
      </c>
      <c r="C564">
        <v>300</v>
      </c>
      <c r="D564">
        <v>211</v>
      </c>
      <c r="E564">
        <v>169</v>
      </c>
      <c r="F564">
        <v>143</v>
      </c>
      <c r="G564">
        <v>113</v>
      </c>
      <c r="H564">
        <v>91</v>
      </c>
      <c r="I564">
        <v>78</v>
      </c>
      <c r="J564">
        <v>67</v>
      </c>
      <c r="K564">
        <v>48</v>
      </c>
      <c r="L564">
        <v>38</v>
      </c>
      <c r="M564">
        <v>26</v>
      </c>
    </row>
    <row r="565" spans="1:13" x14ac:dyDescent="0.2">
      <c r="B565">
        <v>0.2</v>
      </c>
      <c r="C565">
        <v>368</v>
      </c>
      <c r="D565">
        <v>270</v>
      </c>
      <c r="E565">
        <v>217</v>
      </c>
      <c r="F565">
        <v>183</v>
      </c>
      <c r="G565">
        <v>141</v>
      </c>
      <c r="H565">
        <v>115</v>
      </c>
      <c r="I565">
        <v>96</v>
      </c>
      <c r="J565">
        <v>84</v>
      </c>
      <c r="K565">
        <v>60</v>
      </c>
      <c r="L565">
        <v>48</v>
      </c>
      <c r="M565">
        <v>33</v>
      </c>
    </row>
    <row r="566" spans="1:13" x14ac:dyDescent="0.2">
      <c r="B566">
        <v>0.1</v>
      </c>
      <c r="C566">
        <v>420</v>
      </c>
      <c r="D566">
        <v>304</v>
      </c>
      <c r="E566">
        <v>246</v>
      </c>
      <c r="F566">
        <v>210</v>
      </c>
      <c r="G566">
        <v>162</v>
      </c>
      <c r="H566">
        <v>133</v>
      </c>
      <c r="I566">
        <v>112</v>
      </c>
      <c r="J566">
        <v>96</v>
      </c>
      <c r="K566">
        <v>69</v>
      </c>
      <c r="L566">
        <v>54</v>
      </c>
      <c r="M566">
        <v>38</v>
      </c>
    </row>
    <row r="567" spans="1:13" x14ac:dyDescent="0.2">
      <c r="B567">
        <v>0.05</v>
      </c>
      <c r="C567">
        <v>474</v>
      </c>
      <c r="D567">
        <v>339</v>
      </c>
      <c r="E567">
        <v>271</v>
      </c>
      <c r="F567">
        <v>230</v>
      </c>
      <c r="G567">
        <v>179</v>
      </c>
      <c r="H567">
        <v>147</v>
      </c>
      <c r="I567">
        <v>124</v>
      </c>
      <c r="J567">
        <v>108</v>
      </c>
      <c r="K567">
        <v>78</v>
      </c>
      <c r="L567">
        <v>62</v>
      </c>
      <c r="M567">
        <v>44</v>
      </c>
    </row>
    <row r="568" spans="1:13" x14ac:dyDescent="0.2">
      <c r="B568">
        <v>3.3000000000000002E-2</v>
      </c>
      <c r="C568">
        <v>500</v>
      </c>
      <c r="D568">
        <v>362</v>
      </c>
      <c r="E568">
        <v>290</v>
      </c>
      <c r="F568">
        <v>242</v>
      </c>
      <c r="G568">
        <v>189</v>
      </c>
      <c r="H568">
        <v>154</v>
      </c>
      <c r="I568">
        <v>131</v>
      </c>
      <c r="J568">
        <v>115</v>
      </c>
      <c r="K568">
        <v>84</v>
      </c>
      <c r="L568">
        <v>67</v>
      </c>
      <c r="M568">
        <v>47</v>
      </c>
    </row>
    <row r="569" spans="1:13" x14ac:dyDescent="0.2">
      <c r="B569">
        <v>0.02</v>
      </c>
      <c r="C569">
        <v>520</v>
      </c>
      <c r="D569">
        <v>380.1</v>
      </c>
      <c r="E569">
        <v>307.39999999999998</v>
      </c>
      <c r="F569">
        <v>256.52</v>
      </c>
      <c r="G569">
        <v>200.34</v>
      </c>
      <c r="H569">
        <v>163.24</v>
      </c>
      <c r="I569">
        <v>138.86000000000001</v>
      </c>
      <c r="J569">
        <v>121.9</v>
      </c>
      <c r="K569">
        <v>89.04</v>
      </c>
      <c r="L569">
        <v>71.69</v>
      </c>
      <c r="M569">
        <v>50.29</v>
      </c>
    </row>
    <row r="570" spans="1:13" x14ac:dyDescent="0.2">
      <c r="B570">
        <v>0.01</v>
      </c>
      <c r="C570">
        <v>545</v>
      </c>
      <c r="D570">
        <v>398.2</v>
      </c>
      <c r="E570">
        <v>321.89999999999998</v>
      </c>
      <c r="F570">
        <v>268.62</v>
      </c>
      <c r="G570">
        <v>209.79</v>
      </c>
      <c r="H570">
        <v>172.48</v>
      </c>
      <c r="I570">
        <v>146.72</v>
      </c>
      <c r="J570">
        <v>128.80000000000001</v>
      </c>
      <c r="K570">
        <v>94.92</v>
      </c>
      <c r="L570">
        <v>75.709999999999994</v>
      </c>
      <c r="M570">
        <v>53.58</v>
      </c>
    </row>
    <row r="571" spans="1:13" x14ac:dyDescent="0.2">
      <c r="A571">
        <v>58</v>
      </c>
      <c r="B571" t="s">
        <v>173</v>
      </c>
      <c r="E571" t="s">
        <v>117</v>
      </c>
    </row>
    <row r="572" spans="1:13" x14ac:dyDescent="0.2">
      <c r="B572" t="s">
        <v>52</v>
      </c>
      <c r="C572">
        <v>5</v>
      </c>
      <c r="D572">
        <v>10</v>
      </c>
      <c r="E572">
        <v>15</v>
      </c>
      <c r="F572">
        <v>20</v>
      </c>
      <c r="G572">
        <v>30</v>
      </c>
      <c r="H572">
        <v>40</v>
      </c>
      <c r="I572">
        <v>50</v>
      </c>
      <c r="J572">
        <v>60</v>
      </c>
      <c r="K572">
        <v>90</v>
      </c>
      <c r="L572">
        <v>120</v>
      </c>
      <c r="M572">
        <v>180</v>
      </c>
    </row>
    <row r="573" spans="1:13" x14ac:dyDescent="0.2">
      <c r="B573">
        <v>1</v>
      </c>
      <c r="C573">
        <v>274</v>
      </c>
      <c r="D573">
        <v>183</v>
      </c>
      <c r="E573">
        <v>142</v>
      </c>
      <c r="F573">
        <v>117</v>
      </c>
      <c r="G573">
        <v>88</v>
      </c>
      <c r="H573">
        <v>70</v>
      </c>
      <c r="I573">
        <v>57</v>
      </c>
      <c r="J573">
        <v>49</v>
      </c>
      <c r="K573">
        <v>34</v>
      </c>
      <c r="L573">
        <v>26</v>
      </c>
      <c r="M573">
        <v>17</v>
      </c>
    </row>
    <row r="574" spans="1:13" x14ac:dyDescent="0.2">
      <c r="B574">
        <v>0.5</v>
      </c>
      <c r="C574">
        <v>348</v>
      </c>
      <c r="D574">
        <v>239</v>
      </c>
      <c r="E574">
        <v>189</v>
      </c>
      <c r="F574">
        <v>158</v>
      </c>
      <c r="G574">
        <v>120</v>
      </c>
      <c r="H574">
        <v>95</v>
      </c>
      <c r="I574">
        <v>78</v>
      </c>
      <c r="J574">
        <v>67</v>
      </c>
      <c r="K574">
        <v>46</v>
      </c>
      <c r="L574">
        <v>35</v>
      </c>
      <c r="M574">
        <v>24</v>
      </c>
    </row>
    <row r="575" spans="1:13" x14ac:dyDescent="0.2">
      <c r="B575">
        <v>0.2</v>
      </c>
      <c r="C575">
        <v>443</v>
      </c>
      <c r="D575">
        <v>318</v>
      </c>
      <c r="E575">
        <v>257</v>
      </c>
      <c r="F575">
        <v>218</v>
      </c>
      <c r="G575">
        <v>169</v>
      </c>
      <c r="H575">
        <v>136</v>
      </c>
      <c r="I575">
        <v>113</v>
      </c>
      <c r="J575">
        <v>98</v>
      </c>
      <c r="K575">
        <v>70</v>
      </c>
      <c r="L575">
        <v>55</v>
      </c>
      <c r="M575">
        <v>38</v>
      </c>
    </row>
    <row r="576" spans="1:13" x14ac:dyDescent="0.2">
      <c r="B576">
        <v>0.1</v>
      </c>
      <c r="C576">
        <v>528</v>
      </c>
      <c r="D576">
        <v>382</v>
      </c>
      <c r="E576">
        <v>310</v>
      </c>
      <c r="F576">
        <v>262</v>
      </c>
      <c r="G576">
        <v>202</v>
      </c>
      <c r="H576">
        <v>167</v>
      </c>
      <c r="I576">
        <v>142</v>
      </c>
      <c r="J576">
        <v>125</v>
      </c>
      <c r="K576">
        <v>92</v>
      </c>
      <c r="L576">
        <v>74</v>
      </c>
      <c r="M576">
        <v>53</v>
      </c>
    </row>
    <row r="577" spans="1:13" x14ac:dyDescent="0.2">
      <c r="B577">
        <v>0.05</v>
      </c>
      <c r="C577">
        <v>595</v>
      </c>
      <c r="D577">
        <v>440</v>
      </c>
      <c r="E577">
        <v>362</v>
      </c>
      <c r="F577">
        <v>309</v>
      </c>
      <c r="G577">
        <v>243</v>
      </c>
      <c r="H577">
        <v>202</v>
      </c>
      <c r="I577">
        <v>175</v>
      </c>
      <c r="J577">
        <v>155</v>
      </c>
      <c r="K577">
        <v>117</v>
      </c>
      <c r="L577">
        <v>95</v>
      </c>
      <c r="M577">
        <v>70</v>
      </c>
    </row>
    <row r="578" spans="1:13" x14ac:dyDescent="0.2">
      <c r="B578">
        <v>3.3000000000000002E-2</v>
      </c>
      <c r="C578">
        <v>645</v>
      </c>
      <c r="D578">
        <v>473</v>
      </c>
      <c r="E578">
        <v>391</v>
      </c>
      <c r="F578">
        <v>338</v>
      </c>
      <c r="G578">
        <v>269</v>
      </c>
      <c r="H578">
        <v>228</v>
      </c>
      <c r="I578">
        <v>198</v>
      </c>
      <c r="J578">
        <v>176</v>
      </c>
      <c r="K578">
        <v>135</v>
      </c>
      <c r="L578">
        <v>110</v>
      </c>
      <c r="M578">
        <v>82</v>
      </c>
    </row>
    <row r="579" spans="1:13" x14ac:dyDescent="0.2">
      <c r="B579">
        <v>0.02</v>
      </c>
      <c r="C579">
        <v>670.8</v>
      </c>
      <c r="D579">
        <v>496.65</v>
      </c>
      <c r="E579">
        <v>414.46</v>
      </c>
      <c r="F579">
        <v>358.28</v>
      </c>
      <c r="G579">
        <v>285.14</v>
      </c>
      <c r="H579">
        <v>241.68</v>
      </c>
      <c r="I579">
        <v>209.88</v>
      </c>
      <c r="J579">
        <v>186.56</v>
      </c>
      <c r="K579">
        <v>143.1</v>
      </c>
      <c r="L579">
        <v>117.7</v>
      </c>
      <c r="M579">
        <v>87.74</v>
      </c>
    </row>
    <row r="580" spans="1:13" x14ac:dyDescent="0.2">
      <c r="B580">
        <v>0.01</v>
      </c>
      <c r="C580">
        <v>703.05</v>
      </c>
      <c r="D580">
        <v>520.29999999999995</v>
      </c>
      <c r="E580">
        <v>434.01</v>
      </c>
      <c r="F580">
        <v>375.18</v>
      </c>
      <c r="G580">
        <v>298.58999999999997</v>
      </c>
      <c r="H580">
        <v>255.36</v>
      </c>
      <c r="I580">
        <v>221.76</v>
      </c>
      <c r="J580">
        <v>197.12</v>
      </c>
      <c r="K580">
        <v>152.55000000000001</v>
      </c>
      <c r="L580">
        <v>124.3</v>
      </c>
      <c r="M580">
        <v>93.48</v>
      </c>
    </row>
    <row r="581" spans="1:13" x14ac:dyDescent="0.2">
      <c r="A581">
        <v>59</v>
      </c>
      <c r="B581" t="s">
        <v>174</v>
      </c>
      <c r="E581" t="s">
        <v>117</v>
      </c>
    </row>
    <row r="582" spans="1:13" x14ac:dyDescent="0.2">
      <c r="B582" t="s">
        <v>52</v>
      </c>
      <c r="C582">
        <v>5</v>
      </c>
      <c r="D582">
        <v>10</v>
      </c>
      <c r="E582">
        <v>15</v>
      </c>
      <c r="F582">
        <v>20</v>
      </c>
      <c r="G582">
        <v>30</v>
      </c>
      <c r="H582">
        <v>40</v>
      </c>
      <c r="I582">
        <v>50</v>
      </c>
      <c r="J582">
        <v>60</v>
      </c>
      <c r="K582">
        <v>90</v>
      </c>
      <c r="L582">
        <v>120</v>
      </c>
      <c r="M582">
        <v>180</v>
      </c>
    </row>
    <row r="583" spans="1:13" x14ac:dyDescent="0.2">
      <c r="B583">
        <v>1</v>
      </c>
      <c r="C583">
        <v>253</v>
      </c>
      <c r="D583">
        <v>178</v>
      </c>
      <c r="E583">
        <v>141</v>
      </c>
      <c r="F583">
        <v>118</v>
      </c>
      <c r="G583">
        <v>90</v>
      </c>
      <c r="H583">
        <v>73</v>
      </c>
      <c r="I583">
        <v>62</v>
      </c>
      <c r="J583">
        <v>54</v>
      </c>
      <c r="K583">
        <v>39</v>
      </c>
      <c r="L583">
        <v>30</v>
      </c>
      <c r="M583">
        <v>21</v>
      </c>
    </row>
    <row r="584" spans="1:13" x14ac:dyDescent="0.2">
      <c r="B584">
        <v>0.5</v>
      </c>
      <c r="C584">
        <v>299</v>
      </c>
      <c r="D584">
        <v>218</v>
      </c>
      <c r="E584">
        <v>178</v>
      </c>
      <c r="F584">
        <v>152</v>
      </c>
      <c r="G584">
        <v>118</v>
      </c>
      <c r="H584">
        <v>97</v>
      </c>
      <c r="I584">
        <v>83</v>
      </c>
      <c r="J584">
        <v>72</v>
      </c>
      <c r="K584">
        <v>52</v>
      </c>
      <c r="L584">
        <v>41</v>
      </c>
      <c r="M584">
        <v>29</v>
      </c>
    </row>
    <row r="585" spans="1:13" x14ac:dyDescent="0.2">
      <c r="B585">
        <v>0.2</v>
      </c>
      <c r="C585">
        <v>360</v>
      </c>
      <c r="D585">
        <v>270</v>
      </c>
      <c r="E585">
        <v>224</v>
      </c>
      <c r="F585">
        <v>196</v>
      </c>
      <c r="G585">
        <v>157</v>
      </c>
      <c r="H585">
        <v>133</v>
      </c>
      <c r="I585">
        <v>113</v>
      </c>
      <c r="J585">
        <v>100</v>
      </c>
      <c r="K585">
        <v>73</v>
      </c>
      <c r="L585">
        <v>58</v>
      </c>
      <c r="M585">
        <v>42</v>
      </c>
    </row>
    <row r="586" spans="1:13" x14ac:dyDescent="0.2">
      <c r="B586">
        <v>0.1</v>
      </c>
      <c r="C586">
        <v>410</v>
      </c>
      <c r="D586">
        <v>313</v>
      </c>
      <c r="E586">
        <v>263</v>
      </c>
      <c r="F586">
        <v>230</v>
      </c>
      <c r="G586">
        <v>187</v>
      </c>
      <c r="H586">
        <v>156</v>
      </c>
      <c r="I586">
        <v>134</v>
      </c>
      <c r="J586">
        <v>118</v>
      </c>
      <c r="K586">
        <v>88</v>
      </c>
      <c r="L586">
        <v>72</v>
      </c>
      <c r="M586">
        <v>52</v>
      </c>
    </row>
    <row r="587" spans="1:13" x14ac:dyDescent="0.2">
      <c r="B587">
        <v>0.05</v>
      </c>
      <c r="C587">
        <v>450</v>
      </c>
      <c r="D587">
        <v>350</v>
      </c>
      <c r="E587">
        <v>300</v>
      </c>
      <c r="F587">
        <v>264</v>
      </c>
      <c r="G587">
        <v>215</v>
      </c>
      <c r="H587">
        <v>181</v>
      </c>
      <c r="I587">
        <v>158</v>
      </c>
      <c r="J587">
        <v>140</v>
      </c>
      <c r="K587">
        <v>106</v>
      </c>
      <c r="L587">
        <v>86</v>
      </c>
      <c r="M587">
        <v>64</v>
      </c>
    </row>
    <row r="588" spans="1:13" x14ac:dyDescent="0.2">
      <c r="B588">
        <v>3.3000000000000002E-2</v>
      </c>
      <c r="C588">
        <v>471</v>
      </c>
      <c r="D588">
        <v>371</v>
      </c>
      <c r="E588">
        <v>318</v>
      </c>
      <c r="F588">
        <v>282</v>
      </c>
      <c r="G588">
        <v>232</v>
      </c>
      <c r="H588">
        <v>198</v>
      </c>
      <c r="I588">
        <v>172</v>
      </c>
      <c r="J588">
        <v>153</v>
      </c>
      <c r="K588">
        <v>116</v>
      </c>
      <c r="L588">
        <v>94</v>
      </c>
      <c r="M588">
        <v>70</v>
      </c>
    </row>
    <row r="589" spans="1:13" x14ac:dyDescent="0.2">
      <c r="B589">
        <v>0.02</v>
      </c>
      <c r="C589">
        <v>489.84</v>
      </c>
      <c r="D589">
        <v>389.55</v>
      </c>
      <c r="E589">
        <v>337.08</v>
      </c>
      <c r="F589">
        <v>298.92</v>
      </c>
      <c r="G589">
        <v>245.92</v>
      </c>
      <c r="H589">
        <v>209.88</v>
      </c>
      <c r="I589">
        <v>182.32</v>
      </c>
      <c r="J589">
        <v>162.18</v>
      </c>
      <c r="K589">
        <v>122.96</v>
      </c>
      <c r="L589">
        <v>100.58</v>
      </c>
      <c r="M589">
        <v>74.900000000000006</v>
      </c>
    </row>
    <row r="590" spans="1:13" x14ac:dyDescent="0.2">
      <c r="B590">
        <v>0.01</v>
      </c>
      <c r="C590">
        <v>513.39</v>
      </c>
      <c r="D590">
        <v>408.1</v>
      </c>
      <c r="E590">
        <v>352.98</v>
      </c>
      <c r="F590">
        <v>313.02</v>
      </c>
      <c r="G590">
        <v>257.52</v>
      </c>
      <c r="H590">
        <v>221.76</v>
      </c>
      <c r="I590">
        <v>192.64</v>
      </c>
      <c r="J590">
        <v>171.36</v>
      </c>
      <c r="K590">
        <v>131.08000000000001</v>
      </c>
      <c r="L590">
        <v>106.22</v>
      </c>
      <c r="M590">
        <v>79.8</v>
      </c>
    </row>
    <row r="591" spans="1:13" x14ac:dyDescent="0.2">
      <c r="A591">
        <v>60</v>
      </c>
      <c r="B591" t="s">
        <v>175</v>
      </c>
      <c r="E591" t="s">
        <v>117</v>
      </c>
    </row>
    <row r="592" spans="1:13" x14ac:dyDescent="0.2">
      <c r="B592" t="s">
        <v>52</v>
      </c>
      <c r="C592">
        <v>5</v>
      </c>
      <c r="D592">
        <v>10</v>
      </c>
      <c r="E592">
        <v>15</v>
      </c>
      <c r="F592">
        <v>20</v>
      </c>
      <c r="G592">
        <v>30</v>
      </c>
      <c r="H592">
        <v>40</v>
      </c>
      <c r="I592">
        <v>50</v>
      </c>
      <c r="J592">
        <v>60</v>
      </c>
      <c r="K592">
        <v>90</v>
      </c>
      <c r="L592">
        <v>120</v>
      </c>
      <c r="M592">
        <v>180</v>
      </c>
    </row>
    <row r="593" spans="1:13" x14ac:dyDescent="0.2">
      <c r="B593">
        <v>1</v>
      </c>
      <c r="C593">
        <v>240</v>
      </c>
      <c r="D593">
        <v>165</v>
      </c>
      <c r="E593">
        <v>126</v>
      </c>
      <c r="F593">
        <v>107</v>
      </c>
      <c r="G593">
        <v>80</v>
      </c>
      <c r="H593">
        <v>64</v>
      </c>
      <c r="I593">
        <v>53</v>
      </c>
      <c r="J593">
        <v>46</v>
      </c>
      <c r="K593">
        <v>33</v>
      </c>
      <c r="L593">
        <v>25</v>
      </c>
      <c r="M593">
        <v>17</v>
      </c>
    </row>
    <row r="594" spans="1:13" x14ac:dyDescent="0.2">
      <c r="B594">
        <v>0.5</v>
      </c>
      <c r="C594">
        <v>293</v>
      </c>
      <c r="D594">
        <v>202</v>
      </c>
      <c r="E594">
        <v>160</v>
      </c>
      <c r="F594">
        <v>132</v>
      </c>
      <c r="G594">
        <v>100</v>
      </c>
      <c r="H594">
        <v>82</v>
      </c>
      <c r="I594">
        <v>69</v>
      </c>
      <c r="J594">
        <v>60</v>
      </c>
      <c r="K594">
        <v>43</v>
      </c>
      <c r="L594">
        <v>34</v>
      </c>
      <c r="M594">
        <v>23</v>
      </c>
    </row>
    <row r="595" spans="1:13" x14ac:dyDescent="0.2">
      <c r="B595">
        <v>0.2</v>
      </c>
      <c r="C595">
        <v>362</v>
      </c>
      <c r="D595">
        <v>260</v>
      </c>
      <c r="E595">
        <v>204</v>
      </c>
      <c r="F595">
        <v>172</v>
      </c>
      <c r="G595">
        <v>132</v>
      </c>
      <c r="H595">
        <v>107</v>
      </c>
      <c r="I595">
        <v>90</v>
      </c>
      <c r="J595">
        <v>79</v>
      </c>
      <c r="K595">
        <v>57</v>
      </c>
      <c r="L595">
        <v>45</v>
      </c>
      <c r="M595">
        <v>32</v>
      </c>
    </row>
    <row r="596" spans="1:13" x14ac:dyDescent="0.2">
      <c r="B596">
        <v>0.1</v>
      </c>
      <c r="C596">
        <v>405</v>
      </c>
      <c r="D596">
        <v>296</v>
      </c>
      <c r="E596">
        <v>237</v>
      </c>
      <c r="F596">
        <v>199</v>
      </c>
      <c r="G596">
        <v>153</v>
      </c>
      <c r="H596">
        <v>126</v>
      </c>
      <c r="I596">
        <v>107</v>
      </c>
      <c r="J596">
        <v>94</v>
      </c>
      <c r="K596">
        <v>69</v>
      </c>
      <c r="L596">
        <v>55</v>
      </c>
      <c r="M596">
        <v>39</v>
      </c>
    </row>
    <row r="597" spans="1:13" x14ac:dyDescent="0.2">
      <c r="B597">
        <v>0.05</v>
      </c>
      <c r="C597">
        <v>445</v>
      </c>
      <c r="D597">
        <v>329</v>
      </c>
      <c r="E597">
        <v>265</v>
      </c>
      <c r="F597">
        <v>225</v>
      </c>
      <c r="G597">
        <v>174</v>
      </c>
      <c r="H597">
        <v>144</v>
      </c>
      <c r="I597">
        <v>124</v>
      </c>
      <c r="J597">
        <v>108</v>
      </c>
      <c r="K597">
        <v>80</v>
      </c>
      <c r="L597">
        <v>65</v>
      </c>
      <c r="M597">
        <v>47</v>
      </c>
    </row>
    <row r="598" spans="1:13" x14ac:dyDescent="0.2">
      <c r="B598">
        <v>3.3000000000000002E-2</v>
      </c>
      <c r="C598">
        <v>462</v>
      </c>
      <c r="D598">
        <v>350</v>
      </c>
      <c r="E598">
        <v>285</v>
      </c>
      <c r="F598">
        <v>243</v>
      </c>
      <c r="G598">
        <v>190</v>
      </c>
      <c r="H598">
        <v>157</v>
      </c>
      <c r="I598">
        <v>135</v>
      </c>
      <c r="J598">
        <v>118</v>
      </c>
      <c r="K598">
        <v>88</v>
      </c>
      <c r="L598">
        <v>71</v>
      </c>
      <c r="M598">
        <v>51</v>
      </c>
    </row>
    <row r="599" spans="1:13" x14ac:dyDescent="0.2">
      <c r="B599">
        <v>0.02</v>
      </c>
      <c r="C599">
        <v>480.48</v>
      </c>
      <c r="D599">
        <v>367.5</v>
      </c>
      <c r="E599">
        <v>302.10000000000002</v>
      </c>
      <c r="F599">
        <v>257.58</v>
      </c>
      <c r="G599">
        <v>201.4</v>
      </c>
      <c r="H599">
        <v>166.42</v>
      </c>
      <c r="I599">
        <v>143.1</v>
      </c>
      <c r="J599">
        <v>125.08</v>
      </c>
      <c r="K599">
        <v>93.28</v>
      </c>
      <c r="L599">
        <v>75.97</v>
      </c>
      <c r="M599">
        <v>54.57</v>
      </c>
    </row>
    <row r="600" spans="1:13" x14ac:dyDescent="0.2">
      <c r="B600">
        <v>0.01</v>
      </c>
      <c r="C600">
        <v>503.58</v>
      </c>
      <c r="D600">
        <v>385</v>
      </c>
      <c r="E600">
        <v>316.35000000000002</v>
      </c>
      <c r="F600">
        <v>269.73</v>
      </c>
      <c r="G600">
        <v>210.9</v>
      </c>
      <c r="H600">
        <v>175.84</v>
      </c>
      <c r="I600">
        <v>151.19999999999999</v>
      </c>
      <c r="J600">
        <v>133</v>
      </c>
      <c r="K600">
        <v>99.44</v>
      </c>
      <c r="L600">
        <v>80.23</v>
      </c>
      <c r="M600">
        <v>58.14</v>
      </c>
    </row>
    <row r="601" spans="1:13" x14ac:dyDescent="0.2">
      <c r="A601">
        <v>61</v>
      </c>
      <c r="B601" t="s">
        <v>176</v>
      </c>
      <c r="E601" t="s">
        <v>117</v>
      </c>
    </row>
    <row r="602" spans="1:13" x14ac:dyDescent="0.2">
      <c r="B602" t="s">
        <v>52</v>
      </c>
      <c r="C602">
        <v>5</v>
      </c>
      <c r="D602">
        <v>10</v>
      </c>
      <c r="E602">
        <v>15</v>
      </c>
      <c r="F602">
        <v>20</v>
      </c>
      <c r="G602">
        <v>30</v>
      </c>
      <c r="H602">
        <v>40</v>
      </c>
      <c r="I602">
        <v>50</v>
      </c>
      <c r="J602">
        <v>60</v>
      </c>
      <c r="K602">
        <v>90</v>
      </c>
      <c r="L602">
        <v>120</v>
      </c>
      <c r="M602">
        <v>180</v>
      </c>
    </row>
    <row r="603" spans="1:13" x14ac:dyDescent="0.2">
      <c r="B603">
        <v>1</v>
      </c>
      <c r="C603">
        <v>273</v>
      </c>
      <c r="D603">
        <v>184</v>
      </c>
      <c r="E603">
        <v>140</v>
      </c>
      <c r="F603">
        <v>114</v>
      </c>
      <c r="G603">
        <v>84</v>
      </c>
      <c r="H603">
        <v>67</v>
      </c>
      <c r="I603">
        <v>55</v>
      </c>
      <c r="J603">
        <v>48</v>
      </c>
      <c r="K603">
        <v>33</v>
      </c>
      <c r="L603">
        <v>26</v>
      </c>
      <c r="M603">
        <v>18</v>
      </c>
    </row>
    <row r="604" spans="1:13" x14ac:dyDescent="0.2">
      <c r="B604">
        <v>0.5</v>
      </c>
      <c r="C604">
        <v>334</v>
      </c>
      <c r="D604">
        <v>225</v>
      </c>
      <c r="E604">
        <v>171</v>
      </c>
      <c r="F604">
        <v>140</v>
      </c>
      <c r="G604">
        <v>102</v>
      </c>
      <c r="H604">
        <v>80</v>
      </c>
      <c r="I604">
        <v>66</v>
      </c>
      <c r="J604">
        <v>57</v>
      </c>
      <c r="K604">
        <v>40</v>
      </c>
      <c r="L604">
        <v>31</v>
      </c>
      <c r="M604">
        <v>21</v>
      </c>
    </row>
    <row r="605" spans="1:13" x14ac:dyDescent="0.2">
      <c r="B605">
        <v>0.2</v>
      </c>
      <c r="C605">
        <v>400</v>
      </c>
      <c r="D605">
        <v>274</v>
      </c>
      <c r="E605">
        <v>212</v>
      </c>
      <c r="F605">
        <v>171</v>
      </c>
      <c r="G605">
        <v>125</v>
      </c>
      <c r="H605">
        <v>99</v>
      </c>
      <c r="I605">
        <v>82</v>
      </c>
      <c r="J605">
        <v>70</v>
      </c>
      <c r="K605">
        <v>48</v>
      </c>
      <c r="L605">
        <v>37</v>
      </c>
      <c r="M605">
        <v>25</v>
      </c>
    </row>
    <row r="606" spans="1:13" x14ac:dyDescent="0.2">
      <c r="B606">
        <v>0.1</v>
      </c>
      <c r="C606">
        <v>465</v>
      </c>
      <c r="D606">
        <v>319</v>
      </c>
      <c r="E606">
        <v>243</v>
      </c>
      <c r="F606">
        <v>197</v>
      </c>
      <c r="G606">
        <v>144</v>
      </c>
      <c r="H606">
        <v>115</v>
      </c>
      <c r="I606">
        <v>94</v>
      </c>
      <c r="J606">
        <v>80</v>
      </c>
      <c r="K606">
        <v>54</v>
      </c>
      <c r="L606">
        <v>41</v>
      </c>
      <c r="M606">
        <v>28</v>
      </c>
    </row>
    <row r="607" spans="1:13" x14ac:dyDescent="0.2">
      <c r="B607">
        <v>0.05</v>
      </c>
      <c r="C607">
        <v>520</v>
      </c>
      <c r="D607">
        <v>357</v>
      </c>
      <c r="E607">
        <v>274</v>
      </c>
      <c r="F607">
        <v>222</v>
      </c>
      <c r="G607">
        <v>162</v>
      </c>
      <c r="H607">
        <v>129</v>
      </c>
      <c r="I607">
        <v>106</v>
      </c>
      <c r="J607">
        <v>90</v>
      </c>
      <c r="K607">
        <v>61</v>
      </c>
      <c r="L607">
        <v>46</v>
      </c>
      <c r="M607">
        <v>31</v>
      </c>
    </row>
    <row r="608" spans="1:13" x14ac:dyDescent="0.2">
      <c r="B608">
        <v>3.3000000000000002E-2</v>
      </c>
      <c r="C608">
        <v>560</v>
      </c>
      <c r="D608">
        <v>383</v>
      </c>
      <c r="E608">
        <v>295</v>
      </c>
      <c r="F608">
        <v>240</v>
      </c>
      <c r="G608">
        <v>175</v>
      </c>
      <c r="H608">
        <v>139</v>
      </c>
      <c r="I608">
        <v>115</v>
      </c>
      <c r="J608">
        <v>97</v>
      </c>
      <c r="K608">
        <v>67</v>
      </c>
      <c r="L608">
        <v>51</v>
      </c>
      <c r="M608">
        <v>34</v>
      </c>
    </row>
    <row r="609" spans="1:13" x14ac:dyDescent="0.2">
      <c r="B609">
        <v>0.02</v>
      </c>
      <c r="C609">
        <v>600</v>
      </c>
      <c r="D609">
        <v>413</v>
      </c>
      <c r="E609">
        <v>320</v>
      </c>
      <c r="F609">
        <v>260</v>
      </c>
      <c r="G609">
        <v>189</v>
      </c>
      <c r="H609">
        <v>150</v>
      </c>
      <c r="I609">
        <v>122</v>
      </c>
      <c r="J609">
        <v>104</v>
      </c>
      <c r="K609">
        <v>71</v>
      </c>
      <c r="L609">
        <v>55</v>
      </c>
      <c r="M609">
        <v>37</v>
      </c>
    </row>
    <row r="610" spans="1:13" x14ac:dyDescent="0.2">
      <c r="B610">
        <v>0.01</v>
      </c>
      <c r="C610">
        <v>630</v>
      </c>
      <c r="D610">
        <v>433.65</v>
      </c>
      <c r="E610">
        <v>336</v>
      </c>
      <c r="F610">
        <v>273</v>
      </c>
      <c r="G610">
        <v>198.45</v>
      </c>
      <c r="H610">
        <v>157.5</v>
      </c>
      <c r="I610">
        <v>129</v>
      </c>
      <c r="J610">
        <v>110</v>
      </c>
      <c r="K610">
        <v>75.260000000000005</v>
      </c>
      <c r="L610">
        <v>58.3</v>
      </c>
      <c r="M610">
        <v>39.590000000000003</v>
      </c>
    </row>
    <row r="611" spans="1:13" x14ac:dyDescent="0.2">
      <c r="A611">
        <v>62</v>
      </c>
      <c r="B611" t="s">
        <v>177</v>
      </c>
      <c r="E611" t="s">
        <v>117</v>
      </c>
    </row>
    <row r="612" spans="1:13" x14ac:dyDescent="0.2">
      <c r="B612" t="s">
        <v>52</v>
      </c>
      <c r="C612">
        <v>5</v>
      </c>
      <c r="D612">
        <v>10</v>
      </c>
      <c r="E612">
        <v>15</v>
      </c>
      <c r="F612">
        <v>20</v>
      </c>
      <c r="G612">
        <v>30</v>
      </c>
      <c r="H612">
        <v>40</v>
      </c>
      <c r="I612">
        <v>50</v>
      </c>
      <c r="J612">
        <v>60</v>
      </c>
      <c r="K612">
        <v>90</v>
      </c>
      <c r="L612">
        <v>120</v>
      </c>
      <c r="M612">
        <v>180</v>
      </c>
    </row>
    <row r="613" spans="1:13" x14ac:dyDescent="0.2">
      <c r="B613">
        <v>1</v>
      </c>
      <c r="C613">
        <v>220</v>
      </c>
      <c r="D613">
        <v>160</v>
      </c>
      <c r="E613">
        <v>122</v>
      </c>
      <c r="F613">
        <v>100</v>
      </c>
      <c r="G613">
        <v>76</v>
      </c>
      <c r="H613">
        <v>62</v>
      </c>
      <c r="I613">
        <v>52</v>
      </c>
      <c r="J613">
        <v>45</v>
      </c>
      <c r="K613">
        <v>32</v>
      </c>
      <c r="L613">
        <v>25</v>
      </c>
      <c r="M613">
        <v>17</v>
      </c>
    </row>
    <row r="614" spans="1:13" x14ac:dyDescent="0.2">
      <c r="B614">
        <v>0.5</v>
      </c>
      <c r="C614">
        <v>253</v>
      </c>
      <c r="D614">
        <v>184</v>
      </c>
      <c r="E614">
        <v>143</v>
      </c>
      <c r="F614">
        <v>118</v>
      </c>
      <c r="G614">
        <v>89</v>
      </c>
      <c r="H614">
        <v>72</v>
      </c>
      <c r="I614">
        <v>60</v>
      </c>
      <c r="J614">
        <v>52</v>
      </c>
      <c r="K614">
        <v>38</v>
      </c>
      <c r="L614">
        <v>30</v>
      </c>
      <c r="M614">
        <v>20</v>
      </c>
    </row>
    <row r="615" spans="1:13" x14ac:dyDescent="0.2">
      <c r="B615">
        <v>0.2</v>
      </c>
      <c r="C615">
        <v>291</v>
      </c>
      <c r="D615">
        <v>214</v>
      </c>
      <c r="E615">
        <v>166</v>
      </c>
      <c r="F615">
        <v>138</v>
      </c>
      <c r="G615">
        <v>103</v>
      </c>
      <c r="H615">
        <v>83</v>
      </c>
      <c r="I615">
        <v>70</v>
      </c>
      <c r="J615">
        <v>60</v>
      </c>
      <c r="K615">
        <v>44</v>
      </c>
      <c r="L615">
        <v>34</v>
      </c>
      <c r="M615">
        <v>24</v>
      </c>
    </row>
    <row r="616" spans="1:13" x14ac:dyDescent="0.2">
      <c r="B616">
        <v>0.1</v>
      </c>
      <c r="C616">
        <v>319</v>
      </c>
      <c r="D616">
        <v>235</v>
      </c>
      <c r="E616">
        <v>182</v>
      </c>
      <c r="F616">
        <v>150</v>
      </c>
      <c r="G616">
        <v>112</v>
      </c>
      <c r="H616">
        <v>91</v>
      </c>
      <c r="I616">
        <v>77</v>
      </c>
      <c r="J616">
        <v>67</v>
      </c>
      <c r="K616">
        <v>48</v>
      </c>
      <c r="L616">
        <v>38</v>
      </c>
      <c r="M616">
        <v>26</v>
      </c>
    </row>
    <row r="617" spans="1:13" x14ac:dyDescent="0.2">
      <c r="B617">
        <v>0.05</v>
      </c>
      <c r="C617">
        <v>345</v>
      </c>
      <c r="D617">
        <v>255</v>
      </c>
      <c r="E617">
        <v>198</v>
      </c>
      <c r="F617">
        <v>163</v>
      </c>
      <c r="G617">
        <v>123</v>
      </c>
      <c r="H617">
        <v>100</v>
      </c>
      <c r="I617">
        <v>84</v>
      </c>
      <c r="J617">
        <v>74</v>
      </c>
      <c r="K617">
        <v>53</v>
      </c>
      <c r="L617">
        <v>42</v>
      </c>
      <c r="M617">
        <v>29</v>
      </c>
    </row>
    <row r="618" spans="1:13" x14ac:dyDescent="0.2">
      <c r="B618">
        <v>3.3000000000000002E-2</v>
      </c>
      <c r="C618">
        <v>372.6</v>
      </c>
      <c r="D618">
        <v>272.85000000000002</v>
      </c>
      <c r="E618">
        <v>211.86</v>
      </c>
      <c r="F618">
        <v>174.41</v>
      </c>
      <c r="G618">
        <v>132.84</v>
      </c>
      <c r="H618">
        <v>109</v>
      </c>
      <c r="I618">
        <v>92.4</v>
      </c>
      <c r="J618">
        <v>81.400000000000006</v>
      </c>
      <c r="K618">
        <v>58.83</v>
      </c>
      <c r="L618">
        <v>46</v>
      </c>
      <c r="M618">
        <v>32.770000000000003</v>
      </c>
    </row>
    <row r="619" spans="1:13" x14ac:dyDescent="0.2">
      <c r="B619">
        <v>0.02</v>
      </c>
      <c r="C619">
        <v>382.95</v>
      </c>
      <c r="D619">
        <v>283.05</v>
      </c>
      <c r="E619">
        <v>219.78</v>
      </c>
      <c r="F619">
        <v>180.93</v>
      </c>
      <c r="G619">
        <v>138.99</v>
      </c>
      <c r="H619">
        <v>113</v>
      </c>
      <c r="I619">
        <v>95.76</v>
      </c>
      <c r="J619">
        <v>84.36</v>
      </c>
      <c r="K619">
        <v>61.48</v>
      </c>
      <c r="L619">
        <v>48.72</v>
      </c>
      <c r="M619">
        <v>33.93</v>
      </c>
    </row>
    <row r="620" spans="1:13" x14ac:dyDescent="0.2">
      <c r="B620">
        <v>0.01</v>
      </c>
      <c r="C620">
        <v>403.65</v>
      </c>
      <c r="D620">
        <v>300.89999999999998</v>
      </c>
      <c r="E620">
        <v>237.6</v>
      </c>
      <c r="F620">
        <v>196</v>
      </c>
      <c r="G620">
        <v>148.83000000000001</v>
      </c>
      <c r="H620">
        <v>122</v>
      </c>
      <c r="I620">
        <v>104</v>
      </c>
      <c r="J620">
        <v>90</v>
      </c>
      <c r="K620">
        <v>64</v>
      </c>
      <c r="L620">
        <v>49.98</v>
      </c>
      <c r="M620">
        <v>34.51</v>
      </c>
    </row>
    <row r="621" spans="1:13" x14ac:dyDescent="0.2">
      <c r="A621">
        <v>63</v>
      </c>
      <c r="B621" t="s">
        <v>178</v>
      </c>
      <c r="E621" t="s">
        <v>117</v>
      </c>
    </row>
    <row r="622" spans="1:13" x14ac:dyDescent="0.2">
      <c r="B622" t="s">
        <v>52</v>
      </c>
      <c r="C622">
        <v>5</v>
      </c>
      <c r="D622">
        <v>10</v>
      </c>
      <c r="E622">
        <v>15</v>
      </c>
      <c r="F622">
        <v>20</v>
      </c>
      <c r="G622">
        <v>30</v>
      </c>
      <c r="H622">
        <v>40</v>
      </c>
      <c r="I622">
        <v>50</v>
      </c>
      <c r="J622">
        <v>60</v>
      </c>
      <c r="K622">
        <v>90</v>
      </c>
      <c r="L622">
        <v>120</v>
      </c>
      <c r="M622">
        <v>180</v>
      </c>
    </row>
    <row r="623" spans="1:13" x14ac:dyDescent="0.2">
      <c r="B623">
        <v>1</v>
      </c>
      <c r="C623">
        <v>256</v>
      </c>
      <c r="D623">
        <v>175</v>
      </c>
      <c r="E623">
        <v>138</v>
      </c>
      <c r="F623">
        <v>117</v>
      </c>
      <c r="G623">
        <v>90</v>
      </c>
      <c r="H623">
        <v>75</v>
      </c>
      <c r="I623">
        <v>64</v>
      </c>
      <c r="J623">
        <v>57</v>
      </c>
      <c r="K623">
        <v>44</v>
      </c>
      <c r="L623">
        <v>36</v>
      </c>
      <c r="M623">
        <v>26</v>
      </c>
    </row>
    <row r="624" spans="1:13" x14ac:dyDescent="0.2">
      <c r="B624">
        <v>0.5</v>
      </c>
      <c r="C624">
        <v>300</v>
      </c>
      <c r="D624">
        <v>210</v>
      </c>
      <c r="E624">
        <v>168</v>
      </c>
      <c r="F624">
        <v>142</v>
      </c>
      <c r="G624">
        <v>111</v>
      </c>
      <c r="H624">
        <v>92</v>
      </c>
      <c r="I624">
        <v>80</v>
      </c>
      <c r="J624">
        <v>70</v>
      </c>
      <c r="K624">
        <v>53</v>
      </c>
      <c r="L624">
        <v>44</v>
      </c>
      <c r="M624">
        <v>32</v>
      </c>
    </row>
    <row r="625" spans="1:13" x14ac:dyDescent="0.2">
      <c r="B625">
        <v>0.2</v>
      </c>
      <c r="C625">
        <v>362</v>
      </c>
      <c r="D625">
        <v>256</v>
      </c>
      <c r="E625">
        <v>203</v>
      </c>
      <c r="F625">
        <v>175</v>
      </c>
      <c r="G625">
        <v>138</v>
      </c>
      <c r="H625">
        <v>116</v>
      </c>
      <c r="I625">
        <v>99</v>
      </c>
      <c r="J625">
        <v>88</v>
      </c>
      <c r="K625">
        <v>67</v>
      </c>
      <c r="L625">
        <v>56</v>
      </c>
      <c r="M625">
        <v>41</v>
      </c>
    </row>
    <row r="626" spans="1:13" x14ac:dyDescent="0.2">
      <c r="B626">
        <v>0.1</v>
      </c>
      <c r="C626">
        <v>405</v>
      </c>
      <c r="D626">
        <v>290</v>
      </c>
      <c r="E626">
        <v>232</v>
      </c>
      <c r="F626">
        <v>200</v>
      </c>
      <c r="G626">
        <v>158</v>
      </c>
      <c r="H626">
        <v>133</v>
      </c>
      <c r="I626">
        <v>115</v>
      </c>
      <c r="J626">
        <v>102</v>
      </c>
      <c r="K626">
        <v>78</v>
      </c>
      <c r="L626">
        <v>64</v>
      </c>
      <c r="M626">
        <v>47</v>
      </c>
    </row>
    <row r="627" spans="1:13" x14ac:dyDescent="0.2">
      <c r="B627">
        <v>0.05</v>
      </c>
      <c r="C627">
        <v>450</v>
      </c>
      <c r="D627">
        <v>323</v>
      </c>
      <c r="E627">
        <v>262</v>
      </c>
      <c r="F627">
        <v>223</v>
      </c>
      <c r="G627">
        <v>176</v>
      </c>
      <c r="H627">
        <v>148</v>
      </c>
      <c r="I627">
        <v>128</v>
      </c>
      <c r="J627">
        <v>113</v>
      </c>
      <c r="K627">
        <v>86</v>
      </c>
      <c r="L627">
        <v>72</v>
      </c>
      <c r="M627">
        <v>53</v>
      </c>
    </row>
    <row r="628" spans="1:13" x14ac:dyDescent="0.2">
      <c r="B628">
        <v>3.3000000000000002E-2</v>
      </c>
      <c r="C628">
        <v>470</v>
      </c>
      <c r="D628">
        <v>339</v>
      </c>
      <c r="E628">
        <v>275</v>
      </c>
      <c r="F628">
        <v>234</v>
      </c>
      <c r="G628">
        <v>187</v>
      </c>
      <c r="H628">
        <v>157</v>
      </c>
      <c r="I628">
        <v>136</v>
      </c>
      <c r="J628">
        <v>121</v>
      </c>
      <c r="K628">
        <v>92</v>
      </c>
      <c r="L628">
        <v>76</v>
      </c>
      <c r="M628">
        <v>56</v>
      </c>
    </row>
    <row r="629" spans="1:13" x14ac:dyDescent="0.2">
      <c r="B629">
        <v>0.02</v>
      </c>
      <c r="C629">
        <v>488.8</v>
      </c>
      <c r="D629">
        <v>355.95</v>
      </c>
      <c r="E629">
        <v>291.5</v>
      </c>
      <c r="F629">
        <v>248.04</v>
      </c>
      <c r="G629">
        <v>198.22</v>
      </c>
      <c r="H629">
        <v>166.42</v>
      </c>
      <c r="I629">
        <v>144.16</v>
      </c>
      <c r="J629">
        <v>128.26</v>
      </c>
      <c r="K629">
        <v>97.52</v>
      </c>
      <c r="L629">
        <v>81.319999999999993</v>
      </c>
      <c r="M629">
        <v>59.92</v>
      </c>
    </row>
    <row r="630" spans="1:13" x14ac:dyDescent="0.2">
      <c r="B630">
        <v>0.01</v>
      </c>
      <c r="C630">
        <v>512.29999999999995</v>
      </c>
      <c r="D630">
        <v>372.9</v>
      </c>
      <c r="E630">
        <v>305.25</v>
      </c>
      <c r="F630">
        <v>259.74</v>
      </c>
      <c r="G630">
        <v>207.57</v>
      </c>
      <c r="H630">
        <v>175.84</v>
      </c>
      <c r="I630">
        <v>152.32</v>
      </c>
      <c r="J630">
        <v>135.52000000000001</v>
      </c>
      <c r="K630">
        <v>103.96</v>
      </c>
      <c r="L630">
        <v>85.88</v>
      </c>
      <c r="M630">
        <v>63.84</v>
      </c>
    </row>
    <row r="631" spans="1:13" x14ac:dyDescent="0.2">
      <c r="A631">
        <v>64</v>
      </c>
      <c r="B631" t="s">
        <v>179</v>
      </c>
      <c r="E631" t="s">
        <v>117</v>
      </c>
    </row>
    <row r="632" spans="1:13" x14ac:dyDescent="0.2">
      <c r="B632" t="s">
        <v>52</v>
      </c>
      <c r="C632">
        <v>5</v>
      </c>
      <c r="D632">
        <v>10</v>
      </c>
      <c r="E632">
        <v>15</v>
      </c>
      <c r="F632">
        <v>20</v>
      </c>
      <c r="G632">
        <v>30</v>
      </c>
      <c r="H632">
        <v>40</v>
      </c>
      <c r="I632">
        <v>50</v>
      </c>
      <c r="J632">
        <v>60</v>
      </c>
      <c r="K632">
        <v>90</v>
      </c>
      <c r="L632">
        <v>120</v>
      </c>
      <c r="M632">
        <v>180</v>
      </c>
    </row>
    <row r="633" spans="1:13" x14ac:dyDescent="0.2">
      <c r="B633">
        <v>1</v>
      </c>
      <c r="C633">
        <v>300</v>
      </c>
      <c r="D633">
        <v>192</v>
      </c>
      <c r="E633">
        <v>146</v>
      </c>
      <c r="F633">
        <v>119</v>
      </c>
      <c r="G633">
        <v>88</v>
      </c>
      <c r="H633">
        <v>70</v>
      </c>
      <c r="I633">
        <v>59</v>
      </c>
      <c r="J633">
        <v>51</v>
      </c>
      <c r="K633">
        <v>36</v>
      </c>
      <c r="L633">
        <v>28</v>
      </c>
      <c r="M633">
        <v>20</v>
      </c>
    </row>
    <row r="634" spans="1:13" x14ac:dyDescent="0.2">
      <c r="B634">
        <v>0.5</v>
      </c>
      <c r="C634">
        <v>362</v>
      </c>
      <c r="D634">
        <v>232</v>
      </c>
      <c r="E634">
        <v>176</v>
      </c>
      <c r="F634">
        <v>143</v>
      </c>
      <c r="G634">
        <v>107</v>
      </c>
      <c r="H634">
        <v>85</v>
      </c>
      <c r="I634">
        <v>71</v>
      </c>
      <c r="J634">
        <v>61</v>
      </c>
      <c r="K634">
        <v>44</v>
      </c>
      <c r="L634">
        <v>34</v>
      </c>
      <c r="M634">
        <v>24</v>
      </c>
    </row>
    <row r="635" spans="1:13" x14ac:dyDescent="0.2">
      <c r="B635">
        <v>0.2</v>
      </c>
      <c r="C635">
        <v>442</v>
      </c>
      <c r="D635">
        <v>290</v>
      </c>
      <c r="E635">
        <v>222</v>
      </c>
      <c r="F635">
        <v>181</v>
      </c>
      <c r="G635">
        <v>134</v>
      </c>
      <c r="H635">
        <v>108</v>
      </c>
      <c r="I635">
        <v>89</v>
      </c>
      <c r="J635">
        <v>77</v>
      </c>
      <c r="K635">
        <v>54</v>
      </c>
      <c r="L635">
        <v>42</v>
      </c>
      <c r="M635">
        <v>29</v>
      </c>
    </row>
    <row r="636" spans="1:13" x14ac:dyDescent="0.2">
      <c r="B636">
        <v>0.1</v>
      </c>
      <c r="C636">
        <v>492</v>
      </c>
      <c r="D636">
        <v>330</v>
      </c>
      <c r="E636">
        <v>253</v>
      </c>
      <c r="F636">
        <v>207</v>
      </c>
      <c r="G636">
        <v>154</v>
      </c>
      <c r="H636">
        <v>123</v>
      </c>
      <c r="I636">
        <v>103</v>
      </c>
      <c r="J636">
        <v>88</v>
      </c>
      <c r="K636">
        <v>62</v>
      </c>
      <c r="L636">
        <v>48</v>
      </c>
      <c r="M636">
        <v>33</v>
      </c>
    </row>
    <row r="637" spans="1:13" x14ac:dyDescent="0.2">
      <c r="B637">
        <v>0.05</v>
      </c>
      <c r="C637">
        <v>535</v>
      </c>
      <c r="D637">
        <v>359</v>
      </c>
      <c r="E637">
        <v>275</v>
      </c>
      <c r="F637">
        <v>227</v>
      </c>
      <c r="G637">
        <v>168</v>
      </c>
      <c r="H637">
        <v>135</v>
      </c>
      <c r="I637">
        <v>112</v>
      </c>
      <c r="J637">
        <v>96</v>
      </c>
      <c r="K637">
        <v>68</v>
      </c>
      <c r="L637">
        <v>53</v>
      </c>
      <c r="M637">
        <v>36</v>
      </c>
    </row>
    <row r="638" spans="1:13" x14ac:dyDescent="0.2">
      <c r="B638">
        <v>3.3000000000000002E-2</v>
      </c>
      <c r="C638">
        <v>563</v>
      </c>
      <c r="D638">
        <v>377</v>
      </c>
      <c r="E638">
        <v>290</v>
      </c>
      <c r="F638">
        <v>238</v>
      </c>
      <c r="G638">
        <v>178</v>
      </c>
      <c r="H638">
        <v>142</v>
      </c>
      <c r="I638">
        <v>119</v>
      </c>
      <c r="J638">
        <v>102</v>
      </c>
      <c r="K638">
        <v>72</v>
      </c>
      <c r="L638">
        <v>56</v>
      </c>
      <c r="M638">
        <v>39</v>
      </c>
    </row>
    <row r="639" spans="1:13" x14ac:dyDescent="0.2">
      <c r="B639">
        <v>0.02</v>
      </c>
      <c r="C639">
        <v>586</v>
      </c>
      <c r="D639">
        <v>392</v>
      </c>
      <c r="E639">
        <v>301</v>
      </c>
      <c r="F639">
        <v>249</v>
      </c>
      <c r="G639">
        <v>186</v>
      </c>
      <c r="H639">
        <v>149</v>
      </c>
      <c r="I639">
        <v>125</v>
      </c>
      <c r="J639">
        <v>107</v>
      </c>
      <c r="K639">
        <v>76</v>
      </c>
      <c r="L639">
        <v>59</v>
      </c>
      <c r="M639">
        <v>41</v>
      </c>
    </row>
    <row r="640" spans="1:13" x14ac:dyDescent="0.2">
      <c r="B640">
        <v>0.01</v>
      </c>
      <c r="C640">
        <v>600</v>
      </c>
      <c r="D640">
        <v>405</v>
      </c>
      <c r="E640">
        <v>313</v>
      </c>
      <c r="F640">
        <v>258</v>
      </c>
      <c r="G640">
        <v>193</v>
      </c>
      <c r="H640">
        <v>155</v>
      </c>
      <c r="I640">
        <v>130</v>
      </c>
      <c r="J640">
        <v>112</v>
      </c>
      <c r="K640">
        <v>79</v>
      </c>
      <c r="L640">
        <v>62</v>
      </c>
      <c r="M640">
        <v>43</v>
      </c>
    </row>
    <row r="641" spans="1:13" x14ac:dyDescent="0.2">
      <c r="A641">
        <v>65</v>
      </c>
      <c r="B641" t="s">
        <v>180</v>
      </c>
      <c r="E641" t="s">
        <v>117</v>
      </c>
    </row>
    <row r="642" spans="1:13" x14ac:dyDescent="0.2">
      <c r="B642" t="s">
        <v>52</v>
      </c>
      <c r="C642">
        <v>5</v>
      </c>
      <c r="D642">
        <v>10</v>
      </c>
      <c r="E642">
        <v>15</v>
      </c>
      <c r="F642">
        <v>20</v>
      </c>
      <c r="G642">
        <v>30</v>
      </c>
      <c r="H642">
        <v>40</v>
      </c>
      <c r="I642">
        <v>50</v>
      </c>
      <c r="J642">
        <v>60</v>
      </c>
      <c r="K642">
        <v>90</v>
      </c>
      <c r="L642">
        <v>120</v>
      </c>
      <c r="M642">
        <v>180</v>
      </c>
    </row>
    <row r="643" spans="1:13" x14ac:dyDescent="0.2">
      <c r="B643">
        <v>1</v>
      </c>
      <c r="C643">
        <v>219</v>
      </c>
      <c r="D643">
        <v>152</v>
      </c>
      <c r="E643">
        <v>121</v>
      </c>
      <c r="F643">
        <v>101</v>
      </c>
      <c r="G643">
        <v>78</v>
      </c>
      <c r="H643">
        <v>64</v>
      </c>
      <c r="I643">
        <v>54</v>
      </c>
      <c r="J643">
        <v>47</v>
      </c>
      <c r="K643">
        <v>35</v>
      </c>
      <c r="L643">
        <v>27</v>
      </c>
      <c r="M643">
        <v>18</v>
      </c>
    </row>
    <row r="644" spans="1:13" x14ac:dyDescent="0.2">
      <c r="B644">
        <v>0.5</v>
      </c>
      <c r="C644">
        <v>265</v>
      </c>
      <c r="D644">
        <v>183</v>
      </c>
      <c r="E644">
        <v>146</v>
      </c>
      <c r="F644">
        <v>122</v>
      </c>
      <c r="G644">
        <v>94</v>
      </c>
      <c r="H644">
        <v>78</v>
      </c>
      <c r="I644">
        <v>67</v>
      </c>
      <c r="J644">
        <v>59</v>
      </c>
      <c r="K644">
        <v>43</v>
      </c>
      <c r="L644">
        <v>35</v>
      </c>
      <c r="M644">
        <v>24</v>
      </c>
    </row>
    <row r="645" spans="1:13" x14ac:dyDescent="0.2">
      <c r="B645">
        <v>0.2</v>
      </c>
      <c r="C645">
        <v>330</v>
      </c>
      <c r="D645">
        <v>231</v>
      </c>
      <c r="E645">
        <v>183</v>
      </c>
      <c r="F645">
        <v>155</v>
      </c>
      <c r="G645">
        <v>121</v>
      </c>
      <c r="H645">
        <v>100</v>
      </c>
      <c r="I645">
        <v>85</v>
      </c>
      <c r="J645">
        <v>75</v>
      </c>
      <c r="K645">
        <v>56</v>
      </c>
      <c r="L645">
        <v>45</v>
      </c>
      <c r="M645">
        <v>33</v>
      </c>
    </row>
    <row r="646" spans="1:13" x14ac:dyDescent="0.2">
      <c r="B646">
        <v>0.1</v>
      </c>
      <c r="C646">
        <v>374</v>
      </c>
      <c r="D646">
        <v>265</v>
      </c>
      <c r="E646">
        <v>212</v>
      </c>
      <c r="F646">
        <v>180</v>
      </c>
      <c r="G646">
        <v>141</v>
      </c>
      <c r="H646">
        <v>117</v>
      </c>
      <c r="I646">
        <v>100</v>
      </c>
      <c r="J646">
        <v>88</v>
      </c>
      <c r="K646">
        <v>66</v>
      </c>
      <c r="L646">
        <v>54</v>
      </c>
      <c r="M646">
        <v>39</v>
      </c>
    </row>
    <row r="647" spans="1:13" x14ac:dyDescent="0.2">
      <c r="B647">
        <v>0.05</v>
      </c>
      <c r="C647">
        <v>418</v>
      </c>
      <c r="D647">
        <v>297</v>
      </c>
      <c r="E647">
        <v>238</v>
      </c>
      <c r="F647">
        <v>202</v>
      </c>
      <c r="G647">
        <v>158</v>
      </c>
      <c r="H647">
        <v>132</v>
      </c>
      <c r="I647">
        <v>113</v>
      </c>
      <c r="J647">
        <v>100</v>
      </c>
      <c r="K647">
        <v>76</v>
      </c>
      <c r="L647">
        <v>61</v>
      </c>
      <c r="M647">
        <v>45</v>
      </c>
    </row>
    <row r="648" spans="1:13" x14ac:dyDescent="0.2">
      <c r="B648">
        <v>3.3000000000000002E-2</v>
      </c>
      <c r="C648">
        <v>450</v>
      </c>
      <c r="D648">
        <v>321</v>
      </c>
      <c r="E648">
        <v>258</v>
      </c>
      <c r="F648">
        <v>219</v>
      </c>
      <c r="G648">
        <v>172</v>
      </c>
      <c r="H648">
        <v>142</v>
      </c>
      <c r="I648">
        <v>123</v>
      </c>
      <c r="J648">
        <v>108</v>
      </c>
      <c r="K648">
        <v>80</v>
      </c>
      <c r="L648">
        <v>66</v>
      </c>
      <c r="M648">
        <v>48</v>
      </c>
    </row>
    <row r="649" spans="1:13" x14ac:dyDescent="0.2">
      <c r="B649">
        <v>0.02</v>
      </c>
      <c r="C649">
        <v>468</v>
      </c>
      <c r="D649">
        <v>337.05</v>
      </c>
      <c r="E649">
        <v>273.48</v>
      </c>
      <c r="F649">
        <v>232.14</v>
      </c>
      <c r="G649">
        <v>182.32</v>
      </c>
      <c r="H649">
        <v>150.52000000000001</v>
      </c>
      <c r="I649">
        <v>130.38</v>
      </c>
      <c r="J649">
        <v>114.48</v>
      </c>
      <c r="K649">
        <v>84.8</v>
      </c>
      <c r="L649">
        <v>70.62</v>
      </c>
      <c r="M649">
        <v>51.36</v>
      </c>
    </row>
    <row r="650" spans="1:13" x14ac:dyDescent="0.2">
      <c r="B650">
        <v>0.01</v>
      </c>
      <c r="C650">
        <v>490.5</v>
      </c>
      <c r="D650">
        <v>353.1</v>
      </c>
      <c r="E650">
        <v>286.38</v>
      </c>
      <c r="F650">
        <v>243.09</v>
      </c>
      <c r="G650">
        <v>190.92</v>
      </c>
      <c r="H650">
        <v>159.04</v>
      </c>
      <c r="I650">
        <v>137.76</v>
      </c>
      <c r="J650">
        <v>122</v>
      </c>
      <c r="K650">
        <v>91</v>
      </c>
      <c r="L650">
        <v>74.58</v>
      </c>
      <c r="M650">
        <v>54.72</v>
      </c>
    </row>
    <row r="651" spans="1:13" x14ac:dyDescent="0.2">
      <c r="A651">
        <v>66</v>
      </c>
      <c r="B651" t="s">
        <v>181</v>
      </c>
      <c r="E651" t="s">
        <v>117</v>
      </c>
    </row>
    <row r="652" spans="1:13" x14ac:dyDescent="0.2">
      <c r="B652" t="s">
        <v>52</v>
      </c>
      <c r="C652">
        <v>5</v>
      </c>
      <c r="D652">
        <v>10</v>
      </c>
      <c r="E652">
        <v>15</v>
      </c>
      <c r="F652">
        <v>20</v>
      </c>
      <c r="G652">
        <v>30</v>
      </c>
      <c r="H652">
        <v>40</v>
      </c>
      <c r="I652">
        <v>50</v>
      </c>
      <c r="J652">
        <v>60</v>
      </c>
      <c r="K652">
        <v>90</v>
      </c>
      <c r="L652">
        <v>120</v>
      </c>
      <c r="M652">
        <v>180</v>
      </c>
    </row>
    <row r="653" spans="1:13" x14ac:dyDescent="0.2">
      <c r="B653">
        <v>1</v>
      </c>
      <c r="C653">
        <v>310</v>
      </c>
      <c r="D653">
        <v>195</v>
      </c>
      <c r="E653">
        <v>147</v>
      </c>
      <c r="F653">
        <v>120</v>
      </c>
      <c r="G653">
        <v>87</v>
      </c>
      <c r="H653">
        <v>70</v>
      </c>
      <c r="I653">
        <v>57</v>
      </c>
      <c r="J653">
        <v>49</v>
      </c>
      <c r="K653">
        <v>34</v>
      </c>
      <c r="L653">
        <v>26</v>
      </c>
      <c r="M653">
        <v>18</v>
      </c>
    </row>
    <row r="654" spans="1:13" x14ac:dyDescent="0.2">
      <c r="B654">
        <v>0.5</v>
      </c>
      <c r="C654">
        <v>373</v>
      </c>
      <c r="D654">
        <v>241</v>
      </c>
      <c r="E654">
        <v>182</v>
      </c>
      <c r="F654">
        <v>148</v>
      </c>
      <c r="G654">
        <v>109</v>
      </c>
      <c r="H654">
        <v>87</v>
      </c>
      <c r="I654">
        <v>72</v>
      </c>
      <c r="J654">
        <v>62</v>
      </c>
      <c r="K654">
        <v>44</v>
      </c>
      <c r="L654">
        <v>33</v>
      </c>
      <c r="M654">
        <v>23</v>
      </c>
    </row>
    <row r="655" spans="1:13" x14ac:dyDescent="0.2">
      <c r="B655">
        <v>0.2</v>
      </c>
      <c r="C655">
        <v>445</v>
      </c>
      <c r="D655">
        <v>298</v>
      </c>
      <c r="E655">
        <v>229</v>
      </c>
      <c r="F655">
        <v>187</v>
      </c>
      <c r="G655">
        <v>140</v>
      </c>
      <c r="H655">
        <v>113</v>
      </c>
      <c r="I655">
        <v>94</v>
      </c>
      <c r="J655">
        <v>81</v>
      </c>
      <c r="K655">
        <v>57</v>
      </c>
      <c r="L655">
        <v>45</v>
      </c>
      <c r="M655">
        <v>31</v>
      </c>
    </row>
    <row r="656" spans="1:13" x14ac:dyDescent="0.2">
      <c r="B656">
        <v>0.1</v>
      </c>
      <c r="C656">
        <v>495</v>
      </c>
      <c r="D656">
        <v>334</v>
      </c>
      <c r="E656">
        <v>260</v>
      </c>
      <c r="F656">
        <v>213</v>
      </c>
      <c r="G656">
        <v>161</v>
      </c>
      <c r="H656">
        <v>131</v>
      </c>
      <c r="I656">
        <v>110</v>
      </c>
      <c r="J656">
        <v>95</v>
      </c>
      <c r="K656">
        <v>69</v>
      </c>
      <c r="L656">
        <v>54</v>
      </c>
      <c r="M656">
        <v>38</v>
      </c>
    </row>
    <row r="657" spans="1:13" x14ac:dyDescent="0.2">
      <c r="B657">
        <v>0.05</v>
      </c>
      <c r="C657">
        <v>545</v>
      </c>
      <c r="D657">
        <v>372</v>
      </c>
      <c r="E657">
        <v>290</v>
      </c>
      <c r="F657">
        <v>240</v>
      </c>
      <c r="G657">
        <v>182</v>
      </c>
      <c r="H657">
        <v>149</v>
      </c>
      <c r="I657">
        <v>126</v>
      </c>
      <c r="J657">
        <v>110</v>
      </c>
      <c r="K657">
        <v>79</v>
      </c>
      <c r="L657">
        <v>62</v>
      </c>
      <c r="M657">
        <v>44</v>
      </c>
    </row>
    <row r="658" spans="1:13" x14ac:dyDescent="0.2">
      <c r="B658">
        <v>3.3000000000000002E-2</v>
      </c>
      <c r="C658">
        <v>590</v>
      </c>
      <c r="D658">
        <v>403</v>
      </c>
      <c r="E658">
        <v>317</v>
      </c>
      <c r="F658">
        <v>263</v>
      </c>
      <c r="G658">
        <v>200</v>
      </c>
      <c r="H658">
        <v>164</v>
      </c>
      <c r="I658">
        <v>140</v>
      </c>
      <c r="J658">
        <v>122</v>
      </c>
      <c r="K658">
        <v>88</v>
      </c>
      <c r="L658">
        <v>70</v>
      </c>
      <c r="M658">
        <v>50</v>
      </c>
    </row>
    <row r="659" spans="1:13" x14ac:dyDescent="0.2">
      <c r="B659">
        <v>0.02</v>
      </c>
      <c r="C659">
        <v>613.6</v>
      </c>
      <c r="D659">
        <v>423.15</v>
      </c>
      <c r="E659">
        <v>336.02</v>
      </c>
      <c r="F659">
        <v>278.77999999999997</v>
      </c>
      <c r="G659">
        <v>212</v>
      </c>
      <c r="H659">
        <v>173.84</v>
      </c>
      <c r="I659">
        <v>148.4</v>
      </c>
      <c r="J659">
        <v>129.32</v>
      </c>
      <c r="K659">
        <v>93.28</v>
      </c>
      <c r="L659">
        <v>74.900000000000006</v>
      </c>
      <c r="M659">
        <v>53.5</v>
      </c>
    </row>
    <row r="660" spans="1:13" x14ac:dyDescent="0.2">
      <c r="B660">
        <v>0.01</v>
      </c>
      <c r="C660">
        <v>643.1</v>
      </c>
      <c r="D660">
        <v>443.3</v>
      </c>
      <c r="E660">
        <v>351.87</v>
      </c>
      <c r="F660">
        <v>291.93</v>
      </c>
      <c r="G660">
        <v>222</v>
      </c>
      <c r="H660">
        <v>183.68</v>
      </c>
      <c r="I660">
        <v>156.80000000000001</v>
      </c>
      <c r="J660">
        <v>136.63999999999999</v>
      </c>
      <c r="K660">
        <v>99.44</v>
      </c>
      <c r="L660">
        <v>79.099999999999994</v>
      </c>
      <c r="M660">
        <v>57</v>
      </c>
    </row>
    <row r="661" spans="1:13" x14ac:dyDescent="0.2">
      <c r="A661">
        <v>67</v>
      </c>
      <c r="B661" t="s">
        <v>182</v>
      </c>
      <c r="E661" t="s">
        <v>117</v>
      </c>
    </row>
    <row r="662" spans="1:13" x14ac:dyDescent="0.2">
      <c r="B662" t="s">
        <v>52</v>
      </c>
      <c r="C662">
        <v>5</v>
      </c>
      <c r="D662">
        <v>10</v>
      </c>
      <c r="E662">
        <v>15</v>
      </c>
      <c r="F662">
        <v>20</v>
      </c>
      <c r="G662">
        <v>30</v>
      </c>
      <c r="H662">
        <v>40</v>
      </c>
      <c r="I662">
        <v>50</v>
      </c>
      <c r="J662">
        <v>60</v>
      </c>
      <c r="K662">
        <v>90</v>
      </c>
      <c r="L662">
        <v>120</v>
      </c>
      <c r="M662">
        <v>180</v>
      </c>
    </row>
    <row r="663" spans="1:13" x14ac:dyDescent="0.2">
      <c r="B663">
        <v>1</v>
      </c>
      <c r="C663">
        <v>250</v>
      </c>
      <c r="D663">
        <v>169</v>
      </c>
      <c r="E663">
        <v>132</v>
      </c>
      <c r="F663">
        <v>111</v>
      </c>
      <c r="G663">
        <v>84</v>
      </c>
      <c r="H663">
        <v>69</v>
      </c>
      <c r="I663">
        <v>58</v>
      </c>
      <c r="J663">
        <v>50</v>
      </c>
      <c r="K663">
        <v>37</v>
      </c>
      <c r="L663">
        <v>29</v>
      </c>
      <c r="M663">
        <v>20</v>
      </c>
    </row>
    <row r="664" spans="1:13" x14ac:dyDescent="0.2">
      <c r="B664">
        <v>0.5</v>
      </c>
      <c r="C664">
        <v>300</v>
      </c>
      <c r="D664">
        <v>213</v>
      </c>
      <c r="E664">
        <v>168</v>
      </c>
      <c r="F664">
        <v>141</v>
      </c>
      <c r="G664">
        <v>108</v>
      </c>
      <c r="H664">
        <v>88</v>
      </c>
      <c r="I664">
        <v>75</v>
      </c>
      <c r="J664">
        <v>65</v>
      </c>
      <c r="K664">
        <v>47</v>
      </c>
      <c r="L664">
        <v>38</v>
      </c>
      <c r="M664">
        <v>27</v>
      </c>
    </row>
    <row r="665" spans="1:13" x14ac:dyDescent="0.2">
      <c r="B665">
        <v>0.2</v>
      </c>
      <c r="C665">
        <v>360</v>
      </c>
      <c r="D665">
        <v>267</v>
      </c>
      <c r="E665">
        <v>215</v>
      </c>
      <c r="F665">
        <v>182</v>
      </c>
      <c r="G665">
        <v>141</v>
      </c>
      <c r="H665">
        <v>117</v>
      </c>
      <c r="I665">
        <v>99</v>
      </c>
      <c r="J665">
        <v>87</v>
      </c>
      <c r="K665">
        <v>64</v>
      </c>
      <c r="L665">
        <v>52</v>
      </c>
      <c r="M665">
        <v>37</v>
      </c>
    </row>
    <row r="666" spans="1:13" x14ac:dyDescent="0.2">
      <c r="B666">
        <v>0.1</v>
      </c>
      <c r="C666">
        <v>408</v>
      </c>
      <c r="D666">
        <v>304</v>
      </c>
      <c r="E666">
        <v>249</v>
      </c>
      <c r="F666">
        <v>212</v>
      </c>
      <c r="G666">
        <v>165</v>
      </c>
      <c r="H666">
        <v>137</v>
      </c>
      <c r="I666">
        <v>117</v>
      </c>
      <c r="J666">
        <v>103</v>
      </c>
      <c r="K666">
        <v>77</v>
      </c>
      <c r="L666">
        <v>62</v>
      </c>
      <c r="M666">
        <v>45</v>
      </c>
    </row>
    <row r="667" spans="1:13" x14ac:dyDescent="0.2">
      <c r="B667">
        <v>0.05</v>
      </c>
      <c r="C667">
        <v>450</v>
      </c>
      <c r="D667">
        <v>340</v>
      </c>
      <c r="E667">
        <v>278</v>
      </c>
      <c r="F667">
        <v>237</v>
      </c>
      <c r="G667">
        <v>187</v>
      </c>
      <c r="H667">
        <v>156</v>
      </c>
      <c r="I667">
        <v>134</v>
      </c>
      <c r="J667">
        <v>118</v>
      </c>
      <c r="K667">
        <v>89</v>
      </c>
      <c r="L667">
        <v>72</v>
      </c>
      <c r="M667">
        <v>52</v>
      </c>
    </row>
    <row r="668" spans="1:13" x14ac:dyDescent="0.2">
      <c r="B668">
        <v>3.3000000000000002E-2</v>
      </c>
      <c r="C668">
        <v>479</v>
      </c>
      <c r="D668">
        <v>359</v>
      </c>
      <c r="E668">
        <v>293</v>
      </c>
      <c r="F668">
        <v>251</v>
      </c>
      <c r="G668">
        <v>198</v>
      </c>
      <c r="H668">
        <v>166</v>
      </c>
      <c r="I668">
        <v>143</v>
      </c>
      <c r="J668">
        <v>127</v>
      </c>
      <c r="K668">
        <v>96</v>
      </c>
      <c r="L668">
        <v>78</v>
      </c>
      <c r="M668">
        <v>58</v>
      </c>
    </row>
    <row r="669" spans="1:13" x14ac:dyDescent="0.2">
      <c r="B669">
        <v>0.02</v>
      </c>
      <c r="C669">
        <v>494</v>
      </c>
      <c r="D669">
        <v>380</v>
      </c>
      <c r="E669">
        <v>312</v>
      </c>
      <c r="F669">
        <v>269</v>
      </c>
      <c r="G669">
        <v>213</v>
      </c>
      <c r="H669">
        <v>179</v>
      </c>
      <c r="I669">
        <v>154</v>
      </c>
      <c r="J669">
        <v>137</v>
      </c>
      <c r="K669">
        <v>103</v>
      </c>
      <c r="L669">
        <v>84</v>
      </c>
      <c r="M669">
        <v>62</v>
      </c>
    </row>
    <row r="670" spans="1:13" x14ac:dyDescent="0.2">
      <c r="B670">
        <v>0.01</v>
      </c>
      <c r="C670">
        <v>519</v>
      </c>
      <c r="D670">
        <v>397</v>
      </c>
      <c r="E670">
        <v>327</v>
      </c>
      <c r="F670">
        <v>282</v>
      </c>
      <c r="G670">
        <v>224</v>
      </c>
      <c r="H670">
        <v>189</v>
      </c>
      <c r="I670">
        <v>164</v>
      </c>
      <c r="J670">
        <v>146</v>
      </c>
      <c r="K670">
        <v>112</v>
      </c>
      <c r="L670">
        <v>91</v>
      </c>
      <c r="M670">
        <v>68</v>
      </c>
    </row>
    <row r="671" spans="1:13" x14ac:dyDescent="0.2">
      <c r="A671">
        <v>68</v>
      </c>
      <c r="B671" t="s">
        <v>183</v>
      </c>
      <c r="E671" t="s">
        <v>117</v>
      </c>
    </row>
    <row r="672" spans="1:13" x14ac:dyDescent="0.2">
      <c r="B672" t="s">
        <v>52</v>
      </c>
      <c r="C672">
        <v>5</v>
      </c>
      <c r="D672">
        <v>10</v>
      </c>
      <c r="E672">
        <v>15</v>
      </c>
      <c r="F672">
        <v>20</v>
      </c>
      <c r="G672">
        <v>30</v>
      </c>
      <c r="H672">
        <v>40</v>
      </c>
      <c r="I672">
        <v>50</v>
      </c>
      <c r="J672">
        <v>60</v>
      </c>
      <c r="K672">
        <v>90</v>
      </c>
      <c r="L672">
        <v>120</v>
      </c>
      <c r="M672">
        <v>180</v>
      </c>
    </row>
    <row r="673" spans="2:13" x14ac:dyDescent="0.2">
      <c r="B673">
        <v>1</v>
      </c>
      <c r="C673">
        <v>238</v>
      </c>
      <c r="D673">
        <v>166</v>
      </c>
      <c r="E673">
        <v>131</v>
      </c>
      <c r="F673">
        <v>108</v>
      </c>
      <c r="G673">
        <v>82</v>
      </c>
      <c r="H673">
        <v>66</v>
      </c>
      <c r="I673">
        <v>56</v>
      </c>
      <c r="J673">
        <v>48</v>
      </c>
      <c r="K673">
        <v>35</v>
      </c>
      <c r="L673">
        <v>27</v>
      </c>
      <c r="M673">
        <v>19</v>
      </c>
    </row>
    <row r="674" spans="2:13" x14ac:dyDescent="0.2">
      <c r="B674">
        <v>0.5</v>
      </c>
      <c r="C674">
        <v>280</v>
      </c>
      <c r="D674">
        <v>200</v>
      </c>
      <c r="E674">
        <v>160</v>
      </c>
      <c r="F674">
        <v>134</v>
      </c>
      <c r="G674">
        <v>103</v>
      </c>
      <c r="H674">
        <v>85</v>
      </c>
      <c r="I674">
        <v>72</v>
      </c>
      <c r="J674">
        <v>63</v>
      </c>
      <c r="K674">
        <v>46</v>
      </c>
      <c r="L674">
        <v>37</v>
      </c>
      <c r="M674">
        <v>26</v>
      </c>
    </row>
    <row r="675" spans="2:13" x14ac:dyDescent="0.2">
      <c r="B675">
        <v>0.2</v>
      </c>
      <c r="C675">
        <v>330</v>
      </c>
      <c r="D675">
        <v>243</v>
      </c>
      <c r="E675">
        <v>197</v>
      </c>
      <c r="F675">
        <v>167</v>
      </c>
      <c r="G675">
        <v>132</v>
      </c>
      <c r="H675">
        <v>109</v>
      </c>
      <c r="I675">
        <v>94</v>
      </c>
      <c r="J675">
        <v>83</v>
      </c>
      <c r="K675">
        <v>62</v>
      </c>
      <c r="L675">
        <v>50</v>
      </c>
      <c r="M675">
        <v>36</v>
      </c>
    </row>
    <row r="676" spans="2:13" x14ac:dyDescent="0.2">
      <c r="B676">
        <v>0.1</v>
      </c>
      <c r="C676">
        <v>370</v>
      </c>
      <c r="D676">
        <v>279</v>
      </c>
      <c r="E676">
        <v>229</v>
      </c>
      <c r="F676">
        <v>195</v>
      </c>
      <c r="G676">
        <v>155</v>
      </c>
      <c r="H676">
        <v>130</v>
      </c>
      <c r="I676">
        <v>112</v>
      </c>
      <c r="J676">
        <v>100</v>
      </c>
      <c r="K676">
        <v>76</v>
      </c>
      <c r="L676">
        <v>61</v>
      </c>
      <c r="M676">
        <v>44</v>
      </c>
    </row>
    <row r="677" spans="2:13" x14ac:dyDescent="0.2">
      <c r="B677">
        <v>0.05</v>
      </c>
      <c r="C677">
        <v>416</v>
      </c>
      <c r="D677">
        <v>309</v>
      </c>
      <c r="E677">
        <v>252</v>
      </c>
      <c r="F677">
        <v>219</v>
      </c>
      <c r="G677">
        <v>175</v>
      </c>
      <c r="H677">
        <v>148</v>
      </c>
      <c r="I677">
        <v>128</v>
      </c>
      <c r="J677">
        <v>113</v>
      </c>
      <c r="K677">
        <v>85</v>
      </c>
      <c r="L677">
        <v>70</v>
      </c>
      <c r="M677">
        <v>50</v>
      </c>
    </row>
    <row r="678" spans="2:13" x14ac:dyDescent="0.2">
      <c r="B678">
        <v>3.3000000000000002E-2</v>
      </c>
      <c r="C678">
        <v>452</v>
      </c>
      <c r="D678">
        <v>345</v>
      </c>
      <c r="E678">
        <v>282</v>
      </c>
      <c r="F678">
        <v>243</v>
      </c>
      <c r="G678">
        <v>193</v>
      </c>
      <c r="H678">
        <v>162</v>
      </c>
      <c r="I678">
        <v>142</v>
      </c>
      <c r="J678">
        <v>126</v>
      </c>
      <c r="K678">
        <v>95</v>
      </c>
      <c r="L678">
        <v>78</v>
      </c>
      <c r="M678">
        <v>56</v>
      </c>
    </row>
    <row r="679" spans="2:13" x14ac:dyDescent="0.2">
      <c r="B679">
        <v>0.02</v>
      </c>
      <c r="C679">
        <v>470.08</v>
      </c>
      <c r="D679">
        <v>362.25</v>
      </c>
      <c r="E679">
        <v>298.92</v>
      </c>
      <c r="F679">
        <v>257.58</v>
      </c>
      <c r="G679">
        <v>204.58</v>
      </c>
      <c r="H679">
        <v>171.72</v>
      </c>
      <c r="I679">
        <v>150.52000000000001</v>
      </c>
      <c r="J679">
        <v>133.56</v>
      </c>
      <c r="K679">
        <v>100.7</v>
      </c>
      <c r="L679">
        <v>83.46</v>
      </c>
      <c r="M679">
        <v>59.92</v>
      </c>
    </row>
    <row r="680" spans="2:13" x14ac:dyDescent="0.2">
      <c r="B680">
        <v>0.01</v>
      </c>
      <c r="C680">
        <v>492.68</v>
      </c>
      <c r="D680">
        <v>379.5</v>
      </c>
      <c r="E680">
        <v>313.02</v>
      </c>
      <c r="F680">
        <v>269.73</v>
      </c>
      <c r="G680">
        <v>214.23</v>
      </c>
      <c r="H680">
        <v>181.44</v>
      </c>
      <c r="I680">
        <v>159.04</v>
      </c>
      <c r="J680">
        <v>142</v>
      </c>
      <c r="K680">
        <v>108</v>
      </c>
      <c r="L680">
        <v>88.14</v>
      </c>
      <c r="M680">
        <v>63.84</v>
      </c>
    </row>
  </sheetData>
  <customSheetViews>
    <customSheetView guid="{951B81EE-4F73-49C3-86F4-B36C01E7586C}" state="hidden">
      <selection activeCell="D26" sqref="D26"/>
      <rowBreaks count="8" manualBreakCount="8">
        <brk id="80" max="16383" man="1"/>
        <brk id="160" max="12" man="1"/>
        <brk id="240" max="12" man="1"/>
        <brk id="320" max="12" man="1"/>
        <brk id="400" max="16383" man="1"/>
        <brk id="480" max="12" man="1"/>
        <brk id="560" max="12" man="1"/>
        <brk id="640" max="12" man="1"/>
      </rowBreaks>
      <pageMargins left="0.74803149606299213" right="0.74803149606299213" top="0.98425196850393704" bottom="0.98425196850393704" header="0.51181102362204722" footer="0.51181102362204722"/>
      <pageSetup paperSize="9" scale="62" orientation="portrait" verticalDpi="0" r:id="rId1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62" orientation="portrait" r:id="rId2"/>
  <headerFooter alignWithMargins="0"/>
  <rowBreaks count="8" manualBreakCount="8">
    <brk id="80" max="16383" man="1"/>
    <brk id="160" max="12" man="1"/>
    <brk id="240" max="12" man="1"/>
    <brk id="320" max="12" man="1"/>
    <brk id="400" max="16383" man="1"/>
    <brk id="480" max="12" man="1"/>
    <brk id="560" max="12" man="1"/>
    <brk id="640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1"/>
  <dimension ref="A1:V391"/>
  <sheetViews>
    <sheetView showGridLines="0" tabSelected="1" view="pageBreakPreview" topLeftCell="A104" zoomScaleNormal="100" zoomScaleSheetLayoutView="100" zoomScalePageLayoutView="150" workbookViewId="0">
      <selection activeCell="J115" sqref="J115"/>
    </sheetView>
  </sheetViews>
  <sheetFormatPr defaultColWidth="10" defaultRowHeight="13.9" customHeight="1" x14ac:dyDescent="0.2"/>
  <cols>
    <col min="1" max="1" width="1.28515625" style="243" customWidth="1"/>
    <col min="2" max="2" width="7.42578125" style="243" customWidth="1"/>
    <col min="3" max="3" width="10.28515625" style="243" customWidth="1"/>
    <col min="4" max="4" width="6.7109375" style="243" customWidth="1"/>
    <col min="5" max="6" width="6.5703125" style="243" customWidth="1"/>
    <col min="7" max="7" width="6.7109375" style="243" customWidth="1"/>
    <col min="8" max="8" width="6.140625" style="243" customWidth="1"/>
    <col min="9" max="9" width="6.7109375" style="243" customWidth="1"/>
    <col min="10" max="10" width="7.5703125" style="243" customWidth="1"/>
    <col min="11" max="11" width="6.7109375" style="243" customWidth="1"/>
    <col min="12" max="12" width="7.5703125" style="243" customWidth="1"/>
    <col min="13" max="13" width="8.85546875" style="243" customWidth="1"/>
    <col min="14" max="14" width="7.7109375" style="243" customWidth="1"/>
    <col min="15" max="15" width="3.7109375" style="243" customWidth="1"/>
    <col min="16" max="16384" width="10" style="243"/>
  </cols>
  <sheetData>
    <row r="1" spans="2:15" ht="13.9" customHeight="1" x14ac:dyDescent="0.2">
      <c r="M1" s="634"/>
      <c r="N1" s="635"/>
      <c r="O1" s="635"/>
    </row>
    <row r="2" spans="2:15" s="313" customFormat="1" ht="13.9" customHeight="1" x14ac:dyDescent="0.2">
      <c r="E2" s="314"/>
      <c r="M2" s="635"/>
      <c r="N2" s="635"/>
      <c r="O2" s="635"/>
    </row>
    <row r="3" spans="2:15" s="313" customFormat="1" ht="13.9" customHeight="1" x14ac:dyDescent="0.2">
      <c r="E3" s="314"/>
      <c r="M3" s="635"/>
      <c r="N3" s="635"/>
      <c r="O3" s="635"/>
    </row>
    <row r="4" spans="2:15" s="313" customFormat="1" ht="13.9" customHeight="1" x14ac:dyDescent="0.2">
      <c r="E4" s="314"/>
      <c r="M4" s="635"/>
      <c r="N4" s="635"/>
      <c r="O4" s="635"/>
    </row>
    <row r="5" spans="2:15" s="313" customFormat="1" ht="13.9" customHeight="1" thickBot="1" x14ac:dyDescent="0.25">
      <c r="E5" s="314"/>
      <c r="M5" s="635"/>
      <c r="N5" s="635"/>
      <c r="O5" s="635"/>
    </row>
    <row r="6" spans="2:15" s="343" customFormat="1" ht="18" customHeight="1" x14ac:dyDescent="0.25">
      <c r="B6" s="687" t="s">
        <v>512</v>
      </c>
      <c r="C6" s="688"/>
      <c r="D6" s="688"/>
      <c r="E6" s="688"/>
      <c r="F6" s="688"/>
      <c r="G6" s="688"/>
      <c r="H6" s="688"/>
      <c r="I6" s="688"/>
      <c r="J6" s="688"/>
      <c r="K6" s="688"/>
      <c r="L6" s="688"/>
      <c r="M6" s="689"/>
      <c r="N6" s="438"/>
      <c r="O6" s="438"/>
    </row>
    <row r="7" spans="2:15" s="343" customFormat="1" ht="16.899999999999999" customHeight="1" thickBot="1" x14ac:dyDescent="0.35">
      <c r="B7" s="446" t="s">
        <v>355</v>
      </c>
      <c r="C7" s="447">
        <f>L34*100</f>
        <v>60</v>
      </c>
      <c r="D7" s="448" t="s">
        <v>431</v>
      </c>
      <c r="E7" s="449"/>
      <c r="F7" s="449"/>
      <c r="G7" s="450" t="s">
        <v>359</v>
      </c>
      <c r="H7" s="451">
        <f>L34*1000</f>
        <v>600</v>
      </c>
      <c r="I7" s="449" t="s">
        <v>356</v>
      </c>
      <c r="J7" s="731" t="s">
        <v>357</v>
      </c>
      <c r="K7" s="732"/>
      <c r="L7" s="452">
        <f>G34</f>
        <v>216</v>
      </c>
      <c r="M7" s="453" t="s">
        <v>358</v>
      </c>
    </row>
    <row r="8" spans="2:15" s="343" customFormat="1" ht="12" customHeight="1" x14ac:dyDescent="0.25">
      <c r="B8" s="342"/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</row>
    <row r="9" spans="2:15" s="343" customFormat="1" ht="13.9" customHeight="1" x14ac:dyDescent="0.25">
      <c r="B9" s="660" t="s">
        <v>339</v>
      </c>
      <c r="C9" s="661"/>
      <c r="D9" s="661"/>
      <c r="E9" s="342"/>
      <c r="F9" s="342"/>
      <c r="G9" s="342"/>
      <c r="H9" s="342"/>
      <c r="I9" s="342"/>
      <c r="J9" s="342"/>
      <c r="K9" s="342"/>
      <c r="L9" s="342"/>
      <c r="M9" s="342"/>
      <c r="N9" s="342"/>
      <c r="O9" s="342"/>
    </row>
    <row r="10" spans="2:15" s="315" customFormat="1" ht="14.1" customHeight="1" x14ac:dyDescent="0.15">
      <c r="B10" s="316"/>
      <c r="E10" s="317"/>
    </row>
    <row r="11" spans="2:15" s="315" customFormat="1" ht="12" customHeight="1" x14ac:dyDescent="0.15">
      <c r="B11" s="662" t="s">
        <v>290</v>
      </c>
      <c r="C11" s="662"/>
      <c r="D11" s="707" t="s">
        <v>513</v>
      </c>
      <c r="E11" s="707"/>
      <c r="F11" s="707"/>
      <c r="G11" s="707"/>
      <c r="H11" s="707"/>
      <c r="I11" s="707"/>
    </row>
    <row r="12" spans="2:15" s="315" customFormat="1" ht="12" customHeight="1" x14ac:dyDescent="0.15">
      <c r="B12" s="662" t="s">
        <v>291</v>
      </c>
      <c r="C12" s="662"/>
      <c r="D12" s="672" t="s">
        <v>514</v>
      </c>
      <c r="E12" s="672"/>
      <c r="F12" s="672"/>
      <c r="G12" s="672"/>
      <c r="H12" s="672"/>
      <c r="I12" s="672"/>
      <c r="K12" s="318"/>
    </row>
    <row r="13" spans="2:15" s="315" customFormat="1" ht="12" customHeight="1" x14ac:dyDescent="0.15">
      <c r="B13" s="662" t="s">
        <v>474</v>
      </c>
      <c r="C13" s="662"/>
      <c r="D13" s="695">
        <f ca="1">TODAY()</f>
        <v>44313</v>
      </c>
      <c r="E13" s="696"/>
      <c r="F13" s="695"/>
      <c r="G13" s="697"/>
      <c r="H13" s="697"/>
      <c r="I13" s="696"/>
      <c r="K13" s="318"/>
    </row>
    <row r="14" spans="2:15" s="315" customFormat="1" ht="12" customHeight="1" x14ac:dyDescent="0.15">
      <c r="B14" s="319"/>
      <c r="C14" s="319"/>
      <c r="D14" s="434"/>
      <c r="E14" s="434"/>
      <c r="F14" s="434"/>
      <c r="G14" s="434"/>
      <c r="H14" s="434"/>
      <c r="I14" s="434"/>
    </row>
    <row r="15" spans="2:15" s="315" customFormat="1" ht="12" customHeight="1" x14ac:dyDescent="0.15">
      <c r="B15" s="662" t="s">
        <v>287</v>
      </c>
      <c r="C15" s="662"/>
      <c r="D15" s="678" t="s">
        <v>515</v>
      </c>
      <c r="E15" s="678"/>
      <c r="F15" s="678"/>
      <c r="G15" s="678"/>
      <c r="H15" s="678"/>
      <c r="I15" s="678"/>
    </row>
    <row r="16" spans="2:15" s="315" customFormat="1" ht="12" customHeight="1" x14ac:dyDescent="0.15">
      <c r="B16" s="662" t="s">
        <v>473</v>
      </c>
      <c r="C16" s="662"/>
      <c r="D16" s="699" t="s">
        <v>511</v>
      </c>
      <c r="E16" s="699"/>
      <c r="F16" s="699"/>
      <c r="G16" s="699"/>
      <c r="H16" s="699"/>
      <c r="I16" s="699"/>
    </row>
    <row r="17" spans="2:15" s="315" customFormat="1" ht="12" customHeight="1" x14ac:dyDescent="0.15">
      <c r="B17" s="662" t="s">
        <v>288</v>
      </c>
      <c r="C17" s="662"/>
      <c r="D17" s="710" t="s">
        <v>517</v>
      </c>
      <c r="E17" s="711"/>
      <c r="F17" s="711"/>
      <c r="G17" s="711"/>
      <c r="H17" s="711"/>
      <c r="I17" s="711"/>
    </row>
    <row r="18" spans="2:15" s="315" customFormat="1" ht="12" customHeight="1" x14ac:dyDescent="0.15">
      <c r="B18" s="320"/>
      <c r="C18" s="320"/>
      <c r="D18" s="431"/>
      <c r="E18" s="431"/>
      <c r="F18" s="431"/>
      <c r="G18" s="431"/>
      <c r="H18" s="431"/>
      <c r="I18" s="431"/>
    </row>
    <row r="19" spans="2:15" s="315" customFormat="1" ht="12" customHeight="1" x14ac:dyDescent="0.15">
      <c r="B19" s="698" t="s">
        <v>289</v>
      </c>
      <c r="C19" s="698"/>
      <c r="D19" s="676" t="str">
        <f>mesta!J38</f>
        <v>Ing.</v>
      </c>
      <c r="E19" s="677"/>
      <c r="F19" s="678" t="str">
        <f>D15</f>
        <v>Ing. Peter Sivoň, PhD. - psst s.r.o.</v>
      </c>
      <c r="G19" s="678"/>
      <c r="H19" s="678"/>
      <c r="I19" s="678"/>
    </row>
    <row r="20" spans="2:15" s="315" customFormat="1" ht="12" customHeight="1" x14ac:dyDescent="0.15">
      <c r="B20" s="698" t="s">
        <v>473</v>
      </c>
      <c r="C20" s="698"/>
      <c r="D20" s="703" t="str">
        <f>mesta!J46</f>
        <v>tel.:</v>
      </c>
      <c r="E20" s="677"/>
      <c r="F20" s="678" t="str">
        <f>D16</f>
        <v>0948 514 497</v>
      </c>
      <c r="G20" s="678"/>
      <c r="H20" s="678"/>
      <c r="I20" s="678"/>
    </row>
    <row r="21" spans="2:15" s="315" customFormat="1" ht="12" customHeight="1" x14ac:dyDescent="0.15">
      <c r="B21" s="542" t="s">
        <v>288</v>
      </c>
      <c r="C21" s="712" t="str">
        <f>mesta!M38</f>
        <v>e-mail:</v>
      </c>
      <c r="D21" s="713"/>
      <c r="E21" s="713"/>
      <c r="F21" s="708" t="str">
        <f>D17</f>
        <v>atelierpsst@gmail.com</v>
      </c>
      <c r="G21" s="678"/>
      <c r="H21" s="709"/>
      <c r="I21" s="709"/>
      <c r="J21" s="674"/>
      <c r="K21" s="675"/>
    </row>
    <row r="22" spans="2:15" s="315" customFormat="1" ht="13.9" customHeight="1" x14ac:dyDescent="0.15">
      <c r="B22" s="316"/>
      <c r="E22" s="317"/>
    </row>
    <row r="23" spans="2:15" s="315" customFormat="1" ht="15" customHeight="1" x14ac:dyDescent="0.15">
      <c r="B23" s="698" t="s">
        <v>475</v>
      </c>
      <c r="C23" s="698"/>
      <c r="D23" s="704" t="s">
        <v>476</v>
      </c>
      <c r="E23" s="704"/>
      <c r="F23" s="704"/>
      <c r="G23" s="704"/>
      <c r="H23" s="704"/>
      <c r="I23" s="704"/>
    </row>
    <row r="24" spans="2:15" s="318" customFormat="1" ht="13.9" customHeight="1" thickBot="1" x14ac:dyDescent="0.2">
      <c r="B24" s="321"/>
      <c r="C24" s="321"/>
      <c r="D24" s="432"/>
      <c r="E24" s="432"/>
      <c r="F24" s="432"/>
      <c r="G24" s="432"/>
      <c r="H24" s="432"/>
      <c r="I24" s="432"/>
    </row>
    <row r="25" spans="2:15" s="315" customFormat="1" ht="13.9" customHeight="1" x14ac:dyDescent="0.15">
      <c r="B25" s="356" t="s">
        <v>301</v>
      </c>
      <c r="C25" s="700" t="s">
        <v>304</v>
      </c>
      <c r="D25" s="700"/>
      <c r="E25" s="700"/>
      <c r="F25" s="700" t="s">
        <v>303</v>
      </c>
      <c r="G25" s="700"/>
      <c r="H25" s="700"/>
      <c r="I25" s="701" t="s">
        <v>341</v>
      </c>
      <c r="J25" s="702"/>
      <c r="K25" s="439" t="s">
        <v>337</v>
      </c>
      <c r="L25" s="439" t="s">
        <v>299</v>
      </c>
      <c r="M25" s="705" t="s">
        <v>300</v>
      </c>
      <c r="N25" s="706"/>
      <c r="O25" s="692" t="s">
        <v>422</v>
      </c>
    </row>
    <row r="26" spans="2:15" s="315" customFormat="1" ht="13.9" customHeight="1" x14ac:dyDescent="0.15">
      <c r="B26" s="346" t="s">
        <v>292</v>
      </c>
      <c r="C26" s="348" t="s">
        <v>193</v>
      </c>
      <c r="D26" s="349"/>
      <c r="E26" s="350"/>
      <c r="F26" s="350"/>
      <c r="G26" s="351"/>
      <c r="H26" s="352"/>
      <c r="I26" s="508"/>
      <c r="J26" s="509"/>
      <c r="K26" s="345"/>
      <c r="L26" s="505">
        <f>mesta!C1</f>
        <v>3</v>
      </c>
      <c r="M26" s="747" t="str">
        <f>VLOOKUP(mesta!C1,mesta!A2:B69,2)</f>
        <v>3-Bratislava</v>
      </c>
      <c r="N26" s="748"/>
      <c r="O26" s="693"/>
    </row>
    <row r="27" spans="2:15" s="315" customFormat="1" ht="13.9" customHeight="1" x14ac:dyDescent="0.15">
      <c r="B27" s="346" t="s">
        <v>293</v>
      </c>
      <c r="C27" s="348" t="s">
        <v>194</v>
      </c>
      <c r="D27" s="350"/>
      <c r="E27" s="350"/>
      <c r="F27" s="353"/>
      <c r="G27" s="350"/>
      <c r="H27" s="352"/>
      <c r="I27" s="508"/>
      <c r="J27" s="509"/>
      <c r="K27" s="345" t="s">
        <v>70</v>
      </c>
      <c r="L27" s="505">
        <f>mesta!J2</f>
        <v>0.2</v>
      </c>
      <c r="M27" s="338" t="s">
        <v>11</v>
      </c>
      <c r="N27" s="459" t="s">
        <v>423</v>
      </c>
      <c r="O27" s="693"/>
    </row>
    <row r="28" spans="2:15" s="315" customFormat="1" ht="13.5" customHeight="1" x14ac:dyDescent="0.15">
      <c r="B28" s="346" t="s">
        <v>294</v>
      </c>
      <c r="C28" s="348" t="s">
        <v>298</v>
      </c>
      <c r="D28" s="354"/>
      <c r="E28" s="354"/>
      <c r="F28" s="354"/>
      <c r="G28" s="354"/>
      <c r="H28" s="352"/>
      <c r="I28" s="508"/>
      <c r="J28" s="509"/>
      <c r="K28" s="345" t="s">
        <v>9</v>
      </c>
      <c r="L28" s="505">
        <f>mesta!G2</f>
        <v>50</v>
      </c>
      <c r="M28" s="338" t="s">
        <v>98</v>
      </c>
      <c r="N28" s="459" t="s">
        <v>424</v>
      </c>
      <c r="O28" s="693"/>
    </row>
    <row r="29" spans="2:15" s="315" customFormat="1" ht="13.9" customHeight="1" x14ac:dyDescent="0.15">
      <c r="B29" s="347"/>
      <c r="C29" s="348" t="s">
        <v>199</v>
      </c>
      <c r="D29" s="354"/>
      <c r="E29" s="354"/>
      <c r="F29" s="354"/>
      <c r="G29" s="354"/>
      <c r="H29" s="352"/>
      <c r="I29" s="508"/>
      <c r="J29" s="509"/>
      <c r="K29" s="345" t="s">
        <v>40</v>
      </c>
      <c r="L29" s="505">
        <f ca="1">mesta!O2</f>
        <v>74</v>
      </c>
      <c r="M29" s="338" t="s">
        <v>214</v>
      </c>
      <c r="N29" s="459" t="s">
        <v>102</v>
      </c>
      <c r="O29" s="693"/>
    </row>
    <row r="30" spans="2:15" s="315" customFormat="1" ht="13.9" customHeight="1" x14ac:dyDescent="0.25">
      <c r="B30" s="346" t="s">
        <v>295</v>
      </c>
      <c r="C30" s="337" t="s">
        <v>200</v>
      </c>
      <c r="D30" s="348"/>
      <c r="E30" s="350"/>
      <c r="F30" s="350"/>
      <c r="G30" s="350"/>
      <c r="H30" s="352"/>
      <c r="I30" s="508"/>
      <c r="J30" s="509"/>
      <c r="K30" s="345" t="s">
        <v>308</v>
      </c>
      <c r="L30" s="506">
        <f>mesta!M5</f>
        <v>5.0000000000000002E-5</v>
      </c>
      <c r="M30" s="338" t="s">
        <v>7</v>
      </c>
      <c r="N30" s="460" t="s">
        <v>427</v>
      </c>
      <c r="O30" s="693"/>
    </row>
    <row r="31" spans="2:15" s="315" customFormat="1" ht="13.9" customHeight="1" x14ac:dyDescent="0.25">
      <c r="B31" s="346" t="s">
        <v>296</v>
      </c>
      <c r="C31" s="348" t="s">
        <v>201</v>
      </c>
      <c r="D31" s="350"/>
      <c r="E31" s="350"/>
      <c r="F31" s="350"/>
      <c r="G31" s="350"/>
      <c r="H31" s="352"/>
      <c r="I31" s="508"/>
      <c r="J31" s="509"/>
      <c r="K31" s="345" t="s">
        <v>309</v>
      </c>
      <c r="L31" s="505">
        <f>mesta!J16</f>
        <v>1.2</v>
      </c>
      <c r="M31" s="338" t="s">
        <v>11</v>
      </c>
      <c r="N31" s="459" t="s">
        <v>425</v>
      </c>
      <c r="O31" s="693"/>
    </row>
    <row r="32" spans="2:15" s="315" customFormat="1" ht="13.9" customHeight="1" x14ac:dyDescent="0.25">
      <c r="B32" s="346" t="s">
        <v>297</v>
      </c>
      <c r="C32" s="348" t="s">
        <v>216</v>
      </c>
      <c r="D32" s="350"/>
      <c r="E32" s="350"/>
      <c r="F32" s="350"/>
      <c r="G32" s="350"/>
      <c r="H32" s="352"/>
      <c r="I32" s="508"/>
      <c r="J32" s="509"/>
      <c r="K32" s="345" t="s">
        <v>310</v>
      </c>
      <c r="L32" s="505">
        <f>mesta!O5</f>
        <v>2.4</v>
      </c>
      <c r="M32" s="338" t="s">
        <v>12</v>
      </c>
      <c r="N32" s="459" t="s">
        <v>211</v>
      </c>
      <c r="O32" s="693"/>
    </row>
    <row r="33" spans="1:15" s="315" customFormat="1" ht="13.9" customHeight="1" x14ac:dyDescent="0.25">
      <c r="B33" s="389" t="s">
        <v>302</v>
      </c>
      <c r="C33" s="390" t="s">
        <v>487</v>
      </c>
      <c r="D33" s="391"/>
      <c r="E33" s="391"/>
      <c r="F33" s="391"/>
      <c r="G33" s="391"/>
      <c r="H33" s="392"/>
      <c r="I33" s="508"/>
      <c r="J33" s="509"/>
      <c r="K33" s="393" t="s">
        <v>311</v>
      </c>
      <c r="L33" s="507">
        <f>SUM(mesta!F16)</f>
        <v>2</v>
      </c>
      <c r="M33" s="394" t="s">
        <v>94</v>
      </c>
      <c r="N33" s="461" t="s">
        <v>426</v>
      </c>
      <c r="O33" s="694"/>
    </row>
    <row r="34" spans="1:15" s="487" customFormat="1" ht="21" customHeight="1" thickBot="1" x14ac:dyDescent="0.25">
      <c r="B34" s="488" t="s">
        <v>347</v>
      </c>
      <c r="C34" s="489" t="s">
        <v>395</v>
      </c>
      <c r="D34" s="490"/>
      <c r="E34" s="491" t="s">
        <v>355</v>
      </c>
      <c r="F34" s="492">
        <f>L34*100</f>
        <v>60</v>
      </c>
      <c r="G34" s="493">
        <f>0.6*0.6*L34*1000</f>
        <v>216</v>
      </c>
      <c r="H34" s="493" t="s">
        <v>358</v>
      </c>
      <c r="I34" s="510"/>
      <c r="J34" s="511"/>
      <c r="K34" s="494" t="s">
        <v>348</v>
      </c>
      <c r="L34" s="495">
        <f>mesta!J29</f>
        <v>0.6</v>
      </c>
      <c r="M34" s="495" t="s">
        <v>36</v>
      </c>
      <c r="N34" s="690" t="s">
        <v>421</v>
      </c>
      <c r="O34" s="691"/>
    </row>
    <row r="35" spans="1:15" s="315" customFormat="1" ht="13.9" customHeight="1" thickBot="1" x14ac:dyDescent="0.2">
      <c r="A35" s="318"/>
      <c r="B35" s="321"/>
      <c r="C35" s="323"/>
      <c r="D35" s="322"/>
      <c r="E35" s="322"/>
      <c r="F35" s="322"/>
      <c r="G35" s="322"/>
      <c r="H35" s="322"/>
      <c r="I35" s="322"/>
      <c r="J35" s="322"/>
      <c r="K35" s="325"/>
      <c r="L35" s="326"/>
      <c r="M35" s="326"/>
      <c r="N35" s="327"/>
      <c r="O35" s="321"/>
    </row>
    <row r="36" spans="1:15" s="315" customFormat="1" ht="13.9" customHeight="1" x14ac:dyDescent="0.2">
      <c r="B36" s="356" t="s">
        <v>338</v>
      </c>
      <c r="C36" s="462" t="s">
        <v>428</v>
      </c>
      <c r="D36" s="463"/>
      <c r="E36" s="463"/>
      <c r="F36" s="463"/>
      <c r="G36" s="463"/>
      <c r="H36" s="463"/>
      <c r="I36" s="463"/>
      <c r="J36" s="463"/>
      <c r="K36" s="463"/>
      <c r="L36" s="751" t="s">
        <v>306</v>
      </c>
      <c r="M36" s="752"/>
      <c r="N36" s="753"/>
    </row>
    <row r="37" spans="1:15" s="315" customFormat="1" ht="13.9" customHeight="1" x14ac:dyDescent="0.2">
      <c r="B37" s="346" t="s">
        <v>86</v>
      </c>
      <c r="C37" s="436" t="s">
        <v>299</v>
      </c>
      <c r="D37" s="437" t="s">
        <v>300</v>
      </c>
      <c r="E37" s="404"/>
      <c r="F37" s="662" t="s">
        <v>206</v>
      </c>
      <c r="G37" s="673"/>
      <c r="H37" s="673"/>
      <c r="I37" s="673"/>
      <c r="J37" s="749" t="s">
        <v>207</v>
      </c>
      <c r="K37" s="750"/>
      <c r="L37" s="512" t="s">
        <v>299</v>
      </c>
      <c r="M37" s="681" t="s">
        <v>376</v>
      </c>
      <c r="N37" s="682"/>
    </row>
    <row r="38" spans="1:15" s="315" customFormat="1" ht="13.9" customHeight="1" x14ac:dyDescent="0.25">
      <c r="B38" s="357" t="s">
        <v>312</v>
      </c>
      <c r="C38" s="500">
        <v>100</v>
      </c>
      <c r="D38" s="326" t="s">
        <v>313</v>
      </c>
      <c r="E38" s="322" t="s">
        <v>518</v>
      </c>
      <c r="F38" s="334" t="s">
        <v>314</v>
      </c>
      <c r="G38" s="329">
        <f>mesta!F24</f>
        <v>0.6</v>
      </c>
      <c r="H38" s="504"/>
      <c r="I38" s="504"/>
      <c r="J38" s="515">
        <f ca="1">L29*C38*G38/10000</f>
        <v>0.44400000000000001</v>
      </c>
      <c r="K38" s="520" t="s">
        <v>202</v>
      </c>
      <c r="L38" s="513">
        <f>1/L27</f>
        <v>5</v>
      </c>
      <c r="M38" s="322" t="s">
        <v>71</v>
      </c>
      <c r="N38" s="339"/>
    </row>
    <row r="39" spans="1:15" s="315" customFormat="1" ht="13.9" customHeight="1" x14ac:dyDescent="0.25">
      <c r="B39" s="357" t="s">
        <v>315</v>
      </c>
      <c r="C39" s="501">
        <v>357</v>
      </c>
      <c r="D39" s="326" t="s">
        <v>313</v>
      </c>
      <c r="E39" s="322" t="s">
        <v>519</v>
      </c>
      <c r="F39" s="334" t="s">
        <v>316</v>
      </c>
      <c r="G39" s="329">
        <v>0.6</v>
      </c>
      <c r="H39" s="504"/>
      <c r="I39" s="504"/>
      <c r="J39" s="516">
        <f ca="1">L29*C39*G39/10000</f>
        <v>1.5850799999999998</v>
      </c>
      <c r="K39" s="520" t="s">
        <v>202</v>
      </c>
      <c r="L39" s="514">
        <f ca="1">L29/10000</f>
        <v>7.4000000000000003E-3</v>
      </c>
      <c r="M39" s="388" t="s">
        <v>307</v>
      </c>
      <c r="N39" s="324" t="s">
        <v>432</v>
      </c>
    </row>
    <row r="40" spans="1:15" s="315" customFormat="1" ht="13.9" customHeight="1" x14ac:dyDescent="0.25">
      <c r="B40" s="357" t="s">
        <v>317</v>
      </c>
      <c r="C40" s="501">
        <v>0</v>
      </c>
      <c r="D40" s="326" t="s">
        <v>313</v>
      </c>
      <c r="E40" s="322"/>
      <c r="F40" s="334" t="s">
        <v>318</v>
      </c>
      <c r="G40" s="329">
        <f>mesta!F26</f>
        <v>1</v>
      </c>
      <c r="H40" s="504"/>
      <c r="I40" s="504"/>
      <c r="J40" s="516">
        <f ca="1">L29*C40*G40/10000</f>
        <v>0</v>
      </c>
      <c r="K40" s="520" t="s">
        <v>202</v>
      </c>
      <c r="L40" s="514">
        <f>L32</f>
        <v>2.4</v>
      </c>
      <c r="M40" s="388" t="s">
        <v>203</v>
      </c>
      <c r="N40" s="339" t="s">
        <v>368</v>
      </c>
    </row>
    <row r="41" spans="1:15" s="315" customFormat="1" ht="13.9" customHeight="1" x14ac:dyDescent="0.25">
      <c r="B41" s="357" t="s">
        <v>319</v>
      </c>
      <c r="C41" s="501">
        <v>0</v>
      </c>
      <c r="D41" s="326" t="s">
        <v>313</v>
      </c>
      <c r="E41" s="322"/>
      <c r="F41" s="334" t="s">
        <v>320</v>
      </c>
      <c r="G41" s="329">
        <f>mesta!F27</f>
        <v>1</v>
      </c>
      <c r="H41" s="504"/>
      <c r="I41" s="504"/>
      <c r="J41" s="516">
        <f ca="1">L29*C41*G41/10000</f>
        <v>0</v>
      </c>
      <c r="K41" s="520" t="s">
        <v>202</v>
      </c>
      <c r="L41" s="514">
        <f ca="1">MROUND(K114,0.6)</f>
        <v>2.4</v>
      </c>
      <c r="M41" s="388" t="s">
        <v>203</v>
      </c>
      <c r="N41" s="324" t="s">
        <v>342</v>
      </c>
    </row>
    <row r="42" spans="1:15" s="315" customFormat="1" ht="13.9" customHeight="1" x14ac:dyDescent="0.25">
      <c r="B42" s="357" t="s">
        <v>321</v>
      </c>
      <c r="C42" s="501">
        <v>0</v>
      </c>
      <c r="D42" s="326" t="s">
        <v>313</v>
      </c>
      <c r="E42" s="322"/>
      <c r="F42" s="334" t="s">
        <v>322</v>
      </c>
      <c r="G42" s="329">
        <f>mesta!F28</f>
        <v>1</v>
      </c>
      <c r="H42" s="504"/>
      <c r="I42" s="504"/>
      <c r="J42" s="516">
        <f ca="1">L29*C42*G42/10000</f>
        <v>0</v>
      </c>
      <c r="K42" s="520" t="s">
        <v>202</v>
      </c>
      <c r="L42" s="514">
        <f>L34*L33</f>
        <v>1.2</v>
      </c>
      <c r="M42" s="388" t="s">
        <v>203</v>
      </c>
      <c r="N42" s="324" t="s">
        <v>195</v>
      </c>
    </row>
    <row r="43" spans="1:15" s="315" customFormat="1" ht="13.9" customHeight="1" x14ac:dyDescent="0.25">
      <c r="B43" s="357" t="s">
        <v>323</v>
      </c>
      <c r="C43" s="501">
        <v>0</v>
      </c>
      <c r="D43" s="326" t="s">
        <v>313</v>
      </c>
      <c r="E43" s="322"/>
      <c r="F43" s="334" t="s">
        <v>324</v>
      </c>
      <c r="G43" s="329">
        <f>mesta!F29</f>
        <v>1</v>
      </c>
      <c r="H43" s="504"/>
      <c r="I43" s="504"/>
      <c r="J43" s="516">
        <f ca="1">L29*C43*G43/10000</f>
        <v>0</v>
      </c>
      <c r="K43" s="520" t="s">
        <v>202</v>
      </c>
      <c r="L43" s="514">
        <f>L32/0.6</f>
        <v>4</v>
      </c>
      <c r="M43" s="654" t="s">
        <v>445</v>
      </c>
      <c r="N43" s="655"/>
    </row>
    <row r="44" spans="1:15" s="315" customFormat="1" ht="13.9" customHeight="1" x14ac:dyDescent="0.25">
      <c r="B44" s="357" t="s">
        <v>325</v>
      </c>
      <c r="C44" s="502">
        <v>0</v>
      </c>
      <c r="D44" s="326" t="s">
        <v>313</v>
      </c>
      <c r="E44" s="322"/>
      <c r="F44" s="334" t="s">
        <v>326</v>
      </c>
      <c r="G44" s="329">
        <f>mesta!F30</f>
        <v>1</v>
      </c>
      <c r="H44" s="504"/>
      <c r="I44" s="504"/>
      <c r="J44" s="517">
        <f ca="1">L29*C44*G44/10000</f>
        <v>0</v>
      </c>
      <c r="K44" s="520" t="s">
        <v>202</v>
      </c>
      <c r="L44" s="514">
        <f ca="1">L41/0.6</f>
        <v>4</v>
      </c>
      <c r="M44" s="654" t="s">
        <v>446</v>
      </c>
      <c r="N44" s="655"/>
    </row>
    <row r="45" spans="1:15" s="315" customFormat="1" ht="13.9" customHeight="1" thickBot="1" x14ac:dyDescent="0.3">
      <c r="B45" s="357" t="s">
        <v>375</v>
      </c>
      <c r="C45" s="502">
        <v>0</v>
      </c>
      <c r="D45" s="326" t="s">
        <v>313</v>
      </c>
      <c r="E45" s="322"/>
      <c r="F45" s="334" t="s">
        <v>374</v>
      </c>
      <c r="G45" s="329">
        <f>mesta!F31</f>
        <v>1</v>
      </c>
      <c r="H45" s="504"/>
      <c r="I45" s="504"/>
      <c r="J45" s="517">
        <f ca="1">L29*C45*G45/10000</f>
        <v>0</v>
      </c>
      <c r="K45" s="520" t="s">
        <v>202</v>
      </c>
      <c r="L45" s="514">
        <f>L33</f>
        <v>2</v>
      </c>
      <c r="M45" s="654" t="s">
        <v>447</v>
      </c>
      <c r="N45" s="655"/>
    </row>
    <row r="46" spans="1:15" s="315" customFormat="1" ht="13.9" customHeight="1" thickBot="1" x14ac:dyDescent="0.2">
      <c r="B46" s="400" t="s">
        <v>354</v>
      </c>
      <c r="C46" s="503">
        <f>(C38*G38)+(C39*G39)+(C40*G40)+(C41*G41)+(C42*G42)+(C43*G43)+(C44*G44)+(C45*G45)</f>
        <v>274.2</v>
      </c>
      <c r="D46" s="401" t="s">
        <v>327</v>
      </c>
      <c r="E46" s="522" t="s">
        <v>394</v>
      </c>
      <c r="F46" s="344"/>
      <c r="G46" s="344"/>
      <c r="H46" s="519"/>
      <c r="I46" s="523" t="s">
        <v>346</v>
      </c>
      <c r="J46" s="518">
        <f ca="1">SUM(J38:J45)</f>
        <v>2.02908</v>
      </c>
      <c r="K46" s="521" t="s">
        <v>0</v>
      </c>
      <c r="L46" s="458">
        <f ca="1">L43*L44*L45</f>
        <v>32</v>
      </c>
      <c r="M46" s="621" t="s">
        <v>373</v>
      </c>
      <c r="N46" s="457">
        <f>L34*100</f>
        <v>60</v>
      </c>
    </row>
    <row r="47" spans="1:15" s="315" customFormat="1" ht="13.9" customHeight="1" x14ac:dyDescent="0.15">
      <c r="A47" s="318"/>
      <c r="B47" s="318"/>
      <c r="C47" s="318"/>
      <c r="D47" s="330"/>
      <c r="E47" s="332"/>
      <c r="F47" s="328"/>
      <c r="G47" s="318"/>
      <c r="H47" s="318"/>
      <c r="I47" s="318"/>
      <c r="J47" s="331"/>
      <c r="K47" s="331"/>
      <c r="L47" s="333"/>
      <c r="M47" s="318"/>
      <c r="N47" s="318"/>
      <c r="O47" s="318"/>
    </row>
    <row r="48" spans="1:15" s="499" customFormat="1" ht="13.9" customHeight="1" x14ac:dyDescent="0.2">
      <c r="A48" s="496"/>
      <c r="B48" s="670" t="s">
        <v>448</v>
      </c>
      <c r="C48" s="671"/>
      <c r="D48" s="671"/>
      <c r="E48" s="671"/>
      <c r="F48" s="671"/>
      <c r="G48" s="671"/>
      <c r="H48" s="671"/>
      <c r="I48" s="671"/>
      <c r="J48" s="671"/>
      <c r="K48" s="497" t="s">
        <v>433</v>
      </c>
      <c r="L48" s="498"/>
      <c r="M48" s="496"/>
      <c r="N48" s="496"/>
      <c r="O48" s="496"/>
    </row>
    <row r="49" spans="1:15" s="318" customFormat="1" ht="13.9" customHeight="1" x14ac:dyDescent="0.15">
      <c r="D49" s="330"/>
      <c r="E49" s="332"/>
      <c r="F49" s="328"/>
      <c r="J49" s="331"/>
      <c r="K49" s="331"/>
      <c r="L49" s="333"/>
    </row>
    <row r="50" spans="1:15" s="318" customFormat="1" ht="13.9" customHeight="1" x14ac:dyDescent="0.15">
      <c r="D50" s="330"/>
      <c r="E50" s="332"/>
      <c r="F50" s="328"/>
      <c r="J50" s="331"/>
      <c r="K50" s="331"/>
      <c r="L50" s="333"/>
    </row>
    <row r="51" spans="1:15" s="318" customFormat="1" ht="13.9" customHeight="1" x14ac:dyDescent="0.15">
      <c r="D51" s="330"/>
      <c r="E51" s="332"/>
      <c r="F51" s="328"/>
      <c r="J51" s="331"/>
      <c r="K51" s="331"/>
      <c r="L51" s="333"/>
    </row>
    <row r="52" spans="1:15" s="318" customFormat="1" ht="13.9" customHeight="1" x14ac:dyDescent="0.15">
      <c r="D52" s="330"/>
      <c r="E52" s="332"/>
      <c r="F52" s="328"/>
      <c r="J52" s="331"/>
      <c r="K52" s="331"/>
      <c r="L52" s="333"/>
    </row>
    <row r="53" spans="1:15" s="318" customFormat="1" ht="13.9" customHeight="1" x14ac:dyDescent="0.15">
      <c r="D53" s="330"/>
      <c r="E53" s="332"/>
      <c r="F53" s="328"/>
      <c r="J53" s="331"/>
      <c r="K53" s="331"/>
      <c r="L53" s="333"/>
    </row>
    <row r="54" spans="1:15" s="318" customFormat="1" ht="13.9" customHeight="1" x14ac:dyDescent="0.15">
      <c r="D54" s="330"/>
      <c r="E54" s="332"/>
      <c r="F54" s="328"/>
      <c r="J54" s="331"/>
      <c r="K54" s="331"/>
      <c r="L54" s="333"/>
    </row>
    <row r="55" spans="1:15" s="318" customFormat="1" ht="13.9" customHeight="1" x14ac:dyDescent="0.15">
      <c r="D55" s="330"/>
      <c r="E55" s="332"/>
      <c r="F55" s="328"/>
      <c r="J55" s="331"/>
      <c r="K55" s="331"/>
      <c r="L55" s="333"/>
    </row>
    <row r="56" spans="1:15" s="545" customFormat="1" ht="17.25" customHeight="1" x14ac:dyDescent="0.25">
      <c r="B56" s="652" t="s">
        <v>340</v>
      </c>
      <c r="C56" s="653"/>
      <c r="D56" s="653"/>
      <c r="E56" s="653"/>
      <c r="F56" s="653"/>
      <c r="G56" s="653"/>
      <c r="J56" s="546"/>
      <c r="K56" s="546"/>
      <c r="L56" s="547"/>
    </row>
    <row r="57" spans="1:15" s="545" customFormat="1" ht="6" customHeight="1" thickBot="1" x14ac:dyDescent="0.3">
      <c r="C57" s="548"/>
      <c r="D57" s="548"/>
      <c r="E57" s="548"/>
      <c r="F57" s="548"/>
      <c r="G57" s="548"/>
      <c r="J57" s="546"/>
      <c r="K57" s="546"/>
      <c r="L57" s="547"/>
    </row>
    <row r="58" spans="1:15" s="416" customFormat="1" ht="14.1" customHeight="1" thickBot="1" x14ac:dyDescent="0.25">
      <c r="A58" s="313"/>
      <c r="B58" s="414" t="s">
        <v>449</v>
      </c>
      <c r="C58" s="658" t="s">
        <v>488</v>
      </c>
      <c r="D58" s="658"/>
      <c r="E58" s="658"/>
      <c r="F58" s="658"/>
      <c r="G58" s="658"/>
      <c r="H58" s="659"/>
      <c r="I58" s="442" t="s">
        <v>355</v>
      </c>
      <c r="J58" s="443">
        <f>L34*100</f>
        <v>60</v>
      </c>
      <c r="K58" s="742" t="s">
        <v>391</v>
      </c>
      <c r="L58" s="686"/>
      <c r="M58" s="685" t="s">
        <v>390</v>
      </c>
      <c r="N58" s="686"/>
      <c r="O58" s="313"/>
    </row>
    <row r="59" spans="1:15" s="315" customFormat="1" ht="12" customHeight="1" x14ac:dyDescent="0.15">
      <c r="A59" s="317"/>
      <c r="B59" s="683" t="s">
        <v>212</v>
      </c>
      <c r="C59" s="684"/>
      <c r="D59" s="402">
        <v>5</v>
      </c>
      <c r="E59" s="402">
        <v>10</v>
      </c>
      <c r="F59" s="402">
        <v>15</v>
      </c>
      <c r="G59" s="402">
        <v>20</v>
      </c>
      <c r="H59" s="402">
        <v>30</v>
      </c>
      <c r="I59" s="402">
        <v>40</v>
      </c>
      <c r="J59" s="402">
        <v>50</v>
      </c>
      <c r="K59" s="402">
        <v>60</v>
      </c>
      <c r="L59" s="402">
        <v>90</v>
      </c>
      <c r="M59" s="402">
        <v>120</v>
      </c>
      <c r="N59" s="403">
        <v>180</v>
      </c>
      <c r="O59" s="315" t="s">
        <v>408</v>
      </c>
    </row>
    <row r="60" spans="1:15" s="317" customFormat="1" ht="12" customHeight="1" x14ac:dyDescent="0.15">
      <c r="A60" s="315"/>
      <c r="B60" s="358">
        <v>1</v>
      </c>
      <c r="C60" s="359" t="s">
        <v>400</v>
      </c>
      <c r="D60" s="369">
        <f ca="1">C176*1000/G34</f>
        <v>10.670280130293158</v>
      </c>
      <c r="E60" s="369">
        <f ca="1">D176*1000/G34</f>
        <v>14.246606451612902</v>
      </c>
      <c r="F60" s="369">
        <f ca="1">E176*1000/G34</f>
        <v>16.399437699680512</v>
      </c>
      <c r="G60" s="369">
        <f ca="1">F176*1000/G34</f>
        <v>17.770936708860759</v>
      </c>
      <c r="H60" s="369">
        <f ca="1">G176*1000/G34</f>
        <v>19.61977639751553</v>
      </c>
      <c r="I60" s="369">
        <f ca="1">H176*1000/G34</f>
        <v>20.687609756097554</v>
      </c>
      <c r="J60" s="369">
        <f ca="1">I176*1000/G34</f>
        <v>21.454371257485029</v>
      </c>
      <c r="K60" s="369">
        <f ca="1">J176*1000/G34</f>
        <v>21.677929411764708</v>
      </c>
      <c r="L60" s="369">
        <f ca="1">K176*1000/G34</f>
        <v>22.058547486033522</v>
      </c>
      <c r="M60" s="369">
        <f ca="1">L176*1000/G34</f>
        <v>22.402723404255315</v>
      </c>
      <c r="N60" s="369">
        <f ca="1">M176*1000/G34</f>
        <v>21.723029126213586</v>
      </c>
      <c r="O60" s="315" t="s">
        <v>204</v>
      </c>
    </row>
    <row r="61" spans="1:15" s="315" customFormat="1" ht="12" customHeight="1" x14ac:dyDescent="0.15">
      <c r="B61" s="358">
        <v>0.5</v>
      </c>
      <c r="C61" s="359" t="s">
        <v>401</v>
      </c>
      <c r="D61" s="369">
        <f ca="1">C177*1000/G34</f>
        <v>13.052039087947886</v>
      </c>
      <c r="E61" s="369">
        <f ca="1">D177*1000/G34</f>
        <v>17.360103225806455</v>
      </c>
      <c r="F61" s="369">
        <f ca="1">E177*1000/G34</f>
        <v>19.903591054313097</v>
      </c>
      <c r="G61" s="369">
        <f ca="1">F177*1000/G34</f>
        <v>21.658329113924051</v>
      </c>
      <c r="H61" s="369">
        <f ca="1">G177*1000/G34</f>
        <v>23.979726708074537</v>
      </c>
      <c r="I61" s="369">
        <f ca="1">H177*1000/G34</f>
        <v>25.324487804878046</v>
      </c>
      <c r="J61" s="369">
        <f ca="1">I177*1000/G34</f>
        <v>26.270658682634732</v>
      </c>
      <c r="K61" s="369">
        <f ca="1">J177*1000/G34</f>
        <v>26.839341176470587</v>
      </c>
      <c r="L61" s="369">
        <f ca="1">K177*1000/G34</f>
        <v>26.470256983240226</v>
      </c>
      <c r="M61" s="369">
        <f ca="1">L177*1000/G34</f>
        <v>26.136510638297871</v>
      </c>
      <c r="N61" s="369">
        <f ca="1">M177*1000/G34</f>
        <v>25.556504854368931</v>
      </c>
      <c r="O61" s="315" t="s">
        <v>204</v>
      </c>
    </row>
    <row r="62" spans="1:15" s="315" customFormat="1" ht="12" customHeight="1" x14ac:dyDescent="0.15">
      <c r="B62" s="358">
        <v>0.2</v>
      </c>
      <c r="C62" s="360" t="s">
        <v>398</v>
      </c>
      <c r="D62" s="369">
        <f ca="1">C178*1000/G34</f>
        <v>16.434136807817584</v>
      </c>
      <c r="E62" s="369">
        <f ca="1">D178*1000/G34</f>
        <v>21.983174193548386</v>
      </c>
      <c r="F62" s="369">
        <f ca="1">E178*1000/G34</f>
        <v>25.229904153354639</v>
      </c>
      <c r="G62" s="369">
        <f ca="1">F178*1000/G34</f>
        <v>27.21174683544303</v>
      </c>
      <c r="H62" s="369">
        <f ca="1">G178*1000/G34</f>
        <v>29.974658385093161</v>
      </c>
      <c r="I62" s="369">
        <f ca="1">H178*1000/G34</f>
        <v>31.388097560975613</v>
      </c>
      <c r="J62" s="369">
        <f ca="1">I178*1000/G34</f>
        <v>32.400479041916171</v>
      </c>
      <c r="K62" s="369">
        <f ca="1">J178*1000/G34</f>
        <v>33.033035294117653</v>
      </c>
      <c r="L62" s="369">
        <f ca="1">K178*1000/G34</f>
        <v>33.823106145251408</v>
      </c>
      <c r="M62" s="369">
        <f ca="1">L178*1000/G34</f>
        <v>33.604085106382975</v>
      </c>
      <c r="N62" s="369">
        <f ca="1">M178*1000/G34</f>
        <v>31.699421965317917</v>
      </c>
      <c r="O62" s="315" t="s">
        <v>204</v>
      </c>
    </row>
    <row r="63" spans="1:15" s="315" customFormat="1" ht="12" customHeight="1" x14ac:dyDescent="0.15">
      <c r="B63" s="361">
        <v>0.1</v>
      </c>
      <c r="C63" s="362" t="s">
        <v>399</v>
      </c>
      <c r="D63" s="369">
        <f ca="1">C179*1000/G34</f>
        <v>18.62535504885993</v>
      </c>
      <c r="E63" s="369">
        <f ca="1">D179*1000/G34</f>
        <v>25.191019354838712</v>
      </c>
      <c r="F63" s="369">
        <f ca="1">E179*1000/G34</f>
        <v>29.294722044728431</v>
      </c>
      <c r="G63" s="369">
        <f ca="1">F179*1000/G34</f>
        <v>31.839594936708856</v>
      </c>
      <c r="H63" s="369">
        <f ca="1">G179*1000/G34</f>
        <v>34.879602484472052</v>
      </c>
      <c r="I63" s="369">
        <f ca="1">H179*1000/G34</f>
        <v>36.738341463414635</v>
      </c>
      <c r="J63" s="369">
        <f ca="1">I179*1000/G34</f>
        <v>37.654610778443107</v>
      </c>
      <c r="K63" s="369">
        <f ca="1">J179*1000/G34</f>
        <v>38.194447058823535</v>
      </c>
      <c r="L63" s="369">
        <f ca="1">K179*1000/G34</f>
        <v>38.234815642458109</v>
      </c>
      <c r="M63" s="369">
        <f ca="1">L179*1000/G34</f>
        <v>38.271319148936158</v>
      </c>
      <c r="N63" s="369">
        <f ca="1">M179*1000/G34</f>
        <v>35.779106796116501</v>
      </c>
      <c r="O63" s="315" t="s">
        <v>204</v>
      </c>
    </row>
    <row r="64" spans="1:15" s="315" customFormat="1" ht="12" customHeight="1" x14ac:dyDescent="0.15">
      <c r="B64" s="361">
        <v>0.05</v>
      </c>
      <c r="C64" s="363" t="s">
        <v>402</v>
      </c>
      <c r="D64" s="369">
        <f ca="1">C180*1000/G34</f>
        <v>20.673667752442995</v>
      </c>
      <c r="E64" s="369">
        <f ca="1">D180*1000/G34</f>
        <v>28.115819354838713</v>
      </c>
      <c r="F64" s="369">
        <f ca="1">E180*1000/G34</f>
        <v>32.658709265175723</v>
      </c>
      <c r="G64" s="369">
        <f ca="1">F180*1000/G34</f>
        <v>35.541873417721519</v>
      </c>
      <c r="H64" s="369">
        <f ca="1">G180*1000/G34</f>
        <v>39.512049689440992</v>
      </c>
      <c r="I64" s="369">
        <f ca="1">H180*1000/G34</f>
        <v>41.375219512195109</v>
      </c>
      <c r="J64" s="369">
        <f ca="1">I180*1000/G34</f>
        <v>42.033053892215563</v>
      </c>
      <c r="K64" s="369">
        <f ca="1">J180*1000/G34</f>
        <v>42.323576470588222</v>
      </c>
      <c r="L64" s="369">
        <f ca="1">K180*1000/G34</f>
        <v>41.911240223463693</v>
      </c>
      <c r="M64" s="369">
        <f ca="1">L180*1000/G34</f>
        <v>42.005106382978731</v>
      </c>
      <c r="N64" s="369">
        <f ca="1">M180*1000/G34</f>
        <v>39.612582524271836</v>
      </c>
      <c r="O64" s="315" t="s">
        <v>204</v>
      </c>
    </row>
    <row r="65" spans="1:15" s="315" customFormat="1" ht="12" hidden="1" customHeight="1" x14ac:dyDescent="0.15">
      <c r="B65" s="361">
        <v>3.3000000000000002E-2</v>
      </c>
      <c r="C65" s="363" t="s">
        <v>403</v>
      </c>
      <c r="D65" s="369" t="e">
        <f ca="1">C181*1000/N34</f>
        <v>#VALUE!</v>
      </c>
      <c r="E65" s="369" t="e">
        <f ca="1">D181*1000/N34</f>
        <v>#VALUE!</v>
      </c>
      <c r="F65" s="369" t="e">
        <f ca="1">E181*1000/N34</f>
        <v>#VALUE!</v>
      </c>
      <c r="G65" s="369" t="e">
        <f ca="1">F181*1000/N34</f>
        <v>#VALUE!</v>
      </c>
      <c r="H65" s="369" t="e">
        <f ca="1">G181*1000/N34</f>
        <v>#VALUE!</v>
      </c>
      <c r="I65" s="369" t="e">
        <f ca="1">H181*1000/N34</f>
        <v>#VALUE!</v>
      </c>
      <c r="J65" s="369" t="e">
        <f ca="1">I181*1000/N34</f>
        <v>#VALUE!</v>
      </c>
      <c r="K65" s="369" t="e">
        <f ca="1">J181*1000/N34</f>
        <v>#VALUE!</v>
      </c>
      <c r="L65" s="369" t="e">
        <f ca="1">K181*1000/N34</f>
        <v>#VALUE!</v>
      </c>
      <c r="M65" s="369" t="e">
        <f ca="1">L181*1000/N34</f>
        <v>#VALUE!</v>
      </c>
      <c r="N65" s="369" t="e">
        <f ca="1">M181*1000/N34</f>
        <v>#VALUE!</v>
      </c>
      <c r="O65" s="315" t="s">
        <v>204</v>
      </c>
    </row>
    <row r="66" spans="1:15" s="315" customFormat="1" ht="12" customHeight="1" x14ac:dyDescent="0.15">
      <c r="B66" s="361">
        <v>0.02</v>
      </c>
      <c r="C66" s="363" t="s">
        <v>404</v>
      </c>
      <c r="D66" s="369">
        <f ca="1">C182*1000/G34</f>
        <v>22.102723127035823</v>
      </c>
      <c r="E66" s="369">
        <f ca="1">D182*1000/G34</f>
        <v>30.946270967741931</v>
      </c>
      <c r="F66" s="369">
        <f ca="1">E182*1000/G34</f>
        <v>36.162862619808315</v>
      </c>
      <c r="G66" s="369">
        <f ca="1">F182*1000/G34</f>
        <v>39.244151898734174</v>
      </c>
      <c r="H66" s="369">
        <f ca="1">G182*1000/G34</f>
        <v>43.599503105590067</v>
      </c>
      <c r="I66" s="369">
        <f ca="1">H182*1000/G34</f>
        <v>46.725463414634156</v>
      </c>
      <c r="J66" s="369">
        <f ca="1">I182*1000/G34</f>
        <v>48.162874251496994</v>
      </c>
      <c r="K66" s="369">
        <f ca="1">J182*1000/G34</f>
        <v>49.033411764705868</v>
      </c>
      <c r="L66" s="369">
        <f ca="1">K182*1000/G34</f>
        <v>49.264089385474854</v>
      </c>
      <c r="M66" s="369">
        <f ca="1">L182*1000/G34</f>
        <v>49.472680851063814</v>
      </c>
      <c r="N66" s="369">
        <f ca="1">M182*1000/G34</f>
        <v>47.279533980582521</v>
      </c>
      <c r="O66" s="315" t="s">
        <v>204</v>
      </c>
    </row>
    <row r="67" spans="1:15" s="315" customFormat="1" ht="12" customHeight="1" thickBot="1" x14ac:dyDescent="0.2">
      <c r="B67" s="364">
        <v>0.01</v>
      </c>
      <c r="C67" s="365" t="s">
        <v>405</v>
      </c>
      <c r="D67" s="369">
        <f ca="1">C183*1000/G34</f>
        <v>22.769615635179154</v>
      </c>
      <c r="E67" s="369">
        <f ca="1">D183*1000/G34</f>
        <v>31.984103225806443</v>
      </c>
      <c r="F67" s="369">
        <f ca="1">E183*1000/G34</f>
        <v>37.704690095846644</v>
      </c>
      <c r="G67" s="369">
        <f ca="1">F183*1000/G34</f>
        <v>41.095291139240501</v>
      </c>
      <c r="H67" s="369">
        <f ca="1">G183*1000/G34</f>
        <v>46.32447204968944</v>
      </c>
      <c r="I67" s="369">
        <f ca="1">H183*1000/G34</f>
        <v>49.935609756097556</v>
      </c>
      <c r="J67" s="369">
        <f ca="1">I183*1000/G34</f>
        <v>51.665628742514961</v>
      </c>
      <c r="K67" s="369">
        <f ca="1">J183*1000/G34</f>
        <v>53.162541176470583</v>
      </c>
      <c r="L67" s="369">
        <f ca="1">K183*1000/G34</f>
        <v>52.940513966480452</v>
      </c>
      <c r="M67" s="369">
        <f ca="1">L183*1000/G34</f>
        <v>52.273021276595742</v>
      </c>
      <c r="N67" s="369">
        <f ca="1">M183*1000/G34</f>
        <v>49.835184466019413</v>
      </c>
      <c r="O67" s="315" t="s">
        <v>204</v>
      </c>
    </row>
    <row r="68" spans="1:15" s="315" customFormat="1" ht="6" customHeight="1" thickBot="1" x14ac:dyDescent="0.2">
      <c r="B68" s="325"/>
      <c r="C68" s="335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</row>
    <row r="69" spans="1:15" s="313" customFormat="1" ht="14.1" customHeight="1" thickBot="1" x14ac:dyDescent="0.25">
      <c r="B69" s="414" t="s">
        <v>477</v>
      </c>
      <c r="C69" s="679" t="s">
        <v>434</v>
      </c>
      <c r="D69" s="679"/>
      <c r="E69" s="679"/>
      <c r="F69" s="679"/>
      <c r="G69" s="679"/>
      <c r="H69" s="679"/>
      <c r="I69" s="679"/>
      <c r="J69" s="679"/>
      <c r="K69" s="679"/>
      <c r="L69" s="679"/>
      <c r="M69" s="680"/>
      <c r="N69" s="483">
        <f>L34*100</f>
        <v>60</v>
      </c>
      <c r="O69" s="415"/>
    </row>
    <row r="70" spans="1:15" s="407" customFormat="1" ht="35.25" customHeight="1" thickBot="1" x14ac:dyDescent="0.2">
      <c r="A70" s="405"/>
      <c r="B70" s="423" t="s">
        <v>328</v>
      </c>
      <c r="C70" s="423" t="s">
        <v>377</v>
      </c>
      <c r="D70" s="422" t="s">
        <v>378</v>
      </c>
      <c r="E70" s="656" t="s">
        <v>379</v>
      </c>
      <c r="F70" s="657"/>
      <c r="G70" s="656" t="s">
        <v>380</v>
      </c>
      <c r="H70" s="657"/>
      <c r="I70" s="444" t="s">
        <v>392</v>
      </c>
      <c r="J70" s="464">
        <f>L34*100</f>
        <v>60</v>
      </c>
      <c r="K70" s="656" t="s">
        <v>381</v>
      </c>
      <c r="L70" s="657"/>
      <c r="M70" s="733" t="s">
        <v>406</v>
      </c>
      <c r="N70" s="734"/>
      <c r="O70" s="406"/>
    </row>
    <row r="71" spans="1:15" s="318" customFormat="1" ht="12" customHeight="1" x14ac:dyDescent="0.15">
      <c r="A71" s="315"/>
      <c r="B71" s="482">
        <v>1</v>
      </c>
      <c r="C71" s="408">
        <f>L34</f>
        <v>0.6</v>
      </c>
      <c r="D71" s="408">
        <f>B71*C71</f>
        <v>0.6</v>
      </c>
      <c r="E71" s="465">
        <f ca="1">ROUND(((L29*0.0000001*C46*L28*60*L31)/((L32*B71*L34*0.95)+(L30/2*(L32+(B71*L34/2))*L28*60*L31))),3)</f>
        <v>4.5339999999999998</v>
      </c>
      <c r="F71" s="366" t="s">
        <v>203</v>
      </c>
      <c r="G71" s="469">
        <f ca="1">L32*E71*D71</f>
        <v>6.5289599999999988</v>
      </c>
      <c r="H71" s="411" t="s">
        <v>329</v>
      </c>
      <c r="I71" s="524">
        <f ca="1">G71/(0.6*0.6*L34)</f>
        <v>30.226666666666663</v>
      </c>
      <c r="J71" s="525" t="s">
        <v>38</v>
      </c>
      <c r="K71" s="472">
        <f>D71/L30/3600</f>
        <v>3.333333333333333</v>
      </c>
      <c r="L71" s="473" t="s">
        <v>39</v>
      </c>
      <c r="M71" s="735"/>
      <c r="N71" s="736"/>
      <c r="O71" s="326"/>
    </row>
    <row r="72" spans="1:15" s="318" customFormat="1" ht="12" customHeight="1" x14ac:dyDescent="0.15">
      <c r="A72" s="315"/>
      <c r="B72" s="361">
        <v>2</v>
      </c>
      <c r="C72" s="408">
        <f>L34</f>
        <v>0.6</v>
      </c>
      <c r="D72" s="338">
        <f>B72*C72</f>
        <v>1.2</v>
      </c>
      <c r="E72" s="466">
        <f ca="1">ROUND(((L29*0.0000001*C46*L28*60*L31)/((L32*B72*L34*0.95)+(L30/2*(L32+(B72*L34/2))*L28*60*L31))),3)</f>
        <v>2.4300000000000002</v>
      </c>
      <c r="F72" s="367" t="s">
        <v>203</v>
      </c>
      <c r="G72" s="470">
        <f ca="1">L32*E72*D72</f>
        <v>6.9983999999999993</v>
      </c>
      <c r="H72" s="352" t="s">
        <v>329</v>
      </c>
      <c r="I72" s="526">
        <f ca="1">G72/(0.6*0.6*L34)</f>
        <v>32.4</v>
      </c>
      <c r="J72" s="527" t="s">
        <v>38</v>
      </c>
      <c r="K72" s="474">
        <f>D72/L30/3600</f>
        <v>6.6666666666666661</v>
      </c>
      <c r="L72" s="475" t="s">
        <v>39</v>
      </c>
      <c r="M72" s="735"/>
      <c r="N72" s="736"/>
      <c r="O72" s="326"/>
    </row>
    <row r="73" spans="1:15" s="318" customFormat="1" ht="12" customHeight="1" thickBot="1" x14ac:dyDescent="0.2">
      <c r="A73" s="315"/>
      <c r="B73" s="361">
        <v>3</v>
      </c>
      <c r="C73" s="408">
        <f>L34</f>
        <v>0.6</v>
      </c>
      <c r="D73" s="338">
        <f>B73*C73</f>
        <v>1.7999999999999998</v>
      </c>
      <c r="E73" s="467">
        <f ca="1">ROUND(((L29*0.0000001*C46*L28*60*L31)/((L32*B73*L34*0.95)+(L30/2*(L32+(B73*L34/2))*L28*60*L31))),3)</f>
        <v>1.66</v>
      </c>
      <c r="F73" s="367" t="s">
        <v>203</v>
      </c>
      <c r="G73" s="470">
        <f ca="1">L32*E73*D73</f>
        <v>7.1711999999999989</v>
      </c>
      <c r="H73" s="352" t="s">
        <v>329</v>
      </c>
      <c r="I73" s="526">
        <f ca="1">G73/(0.6*0.6*L34)</f>
        <v>33.199999999999996</v>
      </c>
      <c r="J73" s="527" t="s">
        <v>38</v>
      </c>
      <c r="K73" s="474">
        <f>D73/L30/3600</f>
        <v>9.9999999999999982</v>
      </c>
      <c r="L73" s="475" t="s">
        <v>39</v>
      </c>
      <c r="M73" s="737"/>
      <c r="N73" s="738"/>
      <c r="O73" s="323"/>
    </row>
    <row r="74" spans="1:15" s="318" customFormat="1" ht="12" customHeight="1" x14ac:dyDescent="0.15">
      <c r="A74" s="315"/>
      <c r="B74" s="361">
        <v>4</v>
      </c>
      <c r="C74" s="408">
        <f>L34</f>
        <v>0.6</v>
      </c>
      <c r="D74" s="338">
        <f>B74*C74</f>
        <v>2.4</v>
      </c>
      <c r="E74" s="467">
        <f ca="1">ROUND(((L29*0.0000001*C46*L28*60*L31)/((L32*B74*L34*0.95)+(L30/2*(L32+(B74*L34/2))*L28*60*L31))),3)</f>
        <v>1.26</v>
      </c>
      <c r="F74" s="367" t="s">
        <v>203</v>
      </c>
      <c r="G74" s="470">
        <f ca="1">L32*E74*D74</f>
        <v>7.2576000000000001</v>
      </c>
      <c r="H74" s="352" t="s">
        <v>329</v>
      </c>
      <c r="I74" s="526">
        <f ca="1">G74/(0.6*0.6*L34)</f>
        <v>33.6</v>
      </c>
      <c r="J74" s="527" t="s">
        <v>38</v>
      </c>
      <c r="K74" s="474">
        <f>D74/L30/3600</f>
        <v>13.333333333333332</v>
      </c>
      <c r="L74" s="475" t="s">
        <v>39</v>
      </c>
      <c r="M74" s="478" t="s">
        <v>436</v>
      </c>
      <c r="N74" s="479" t="s">
        <v>344</v>
      </c>
      <c r="O74" s="323"/>
    </row>
    <row r="75" spans="1:15" s="318" customFormat="1" ht="12" customHeight="1" thickBot="1" x14ac:dyDescent="0.2">
      <c r="A75" s="315"/>
      <c r="B75" s="364">
        <v>5</v>
      </c>
      <c r="C75" s="409">
        <f>L34</f>
        <v>0.6</v>
      </c>
      <c r="D75" s="340">
        <f>B75*C75</f>
        <v>3</v>
      </c>
      <c r="E75" s="468">
        <f ca="1">ROUND(((L29*0.0000001*C46*L28*60*L31)/((L32*B75*L34*0.95)+(L30/2*(L32+(B75*L34/2))*L28*60*L31))),3)</f>
        <v>1.016</v>
      </c>
      <c r="F75" s="368" t="s">
        <v>203</v>
      </c>
      <c r="G75" s="471">
        <f ca="1">L32*E75*D75</f>
        <v>7.3152000000000008</v>
      </c>
      <c r="H75" s="355" t="s">
        <v>329</v>
      </c>
      <c r="I75" s="528">
        <f ca="1">G75/(0.6*0.6*L34)</f>
        <v>33.866666666666674</v>
      </c>
      <c r="J75" s="529" t="s">
        <v>38</v>
      </c>
      <c r="K75" s="476">
        <f>D75/L30/3600</f>
        <v>16.666666666666668</v>
      </c>
      <c r="L75" s="477" t="s">
        <v>39</v>
      </c>
      <c r="M75" s="480" t="s">
        <v>435</v>
      </c>
      <c r="N75" s="481" t="s">
        <v>345</v>
      </c>
      <c r="O75" s="341"/>
    </row>
    <row r="76" spans="1:15" s="318" customFormat="1" ht="6" customHeight="1" x14ac:dyDescent="0.15">
      <c r="A76" s="315"/>
      <c r="B76" s="315"/>
      <c r="C76" s="315"/>
      <c r="D76" s="315"/>
      <c r="E76" s="315"/>
      <c r="F76" s="315"/>
      <c r="G76" s="315"/>
      <c r="H76" s="315"/>
      <c r="I76" s="315"/>
      <c r="J76" s="315"/>
      <c r="K76" s="341"/>
      <c r="L76" s="341"/>
      <c r="M76" s="341"/>
      <c r="N76" s="341"/>
      <c r="O76" s="341"/>
    </row>
    <row r="77" spans="1:15" s="313" customFormat="1" ht="14.1" hidden="1" customHeight="1" thickBot="1" x14ac:dyDescent="0.25">
      <c r="B77" s="414" t="s">
        <v>478</v>
      </c>
      <c r="C77" s="649" t="s">
        <v>479</v>
      </c>
      <c r="D77" s="649"/>
      <c r="E77" s="649"/>
      <c r="F77" s="649"/>
      <c r="G77" s="649"/>
      <c r="H77" s="649"/>
      <c r="I77" s="649"/>
      <c r="J77" s="649"/>
      <c r="K77" s="649"/>
      <c r="L77" s="649"/>
      <c r="M77" s="650"/>
      <c r="N77" s="651"/>
      <c r="O77" s="415"/>
    </row>
    <row r="78" spans="1:15" s="407" customFormat="1" ht="55.5" hidden="1" customHeight="1" x14ac:dyDescent="0.15">
      <c r="A78" s="405"/>
      <c r="B78" s="549" t="s">
        <v>483</v>
      </c>
      <c r="C78" s="550" t="s">
        <v>484</v>
      </c>
      <c r="D78" s="550" t="s">
        <v>485</v>
      </c>
      <c r="E78" s="645" t="s">
        <v>482</v>
      </c>
      <c r="F78" s="646"/>
      <c r="G78" s="645" t="s">
        <v>380</v>
      </c>
      <c r="H78" s="646"/>
      <c r="I78" s="647" t="s">
        <v>481</v>
      </c>
      <c r="J78" s="648"/>
      <c r="K78" s="645" t="s">
        <v>381</v>
      </c>
      <c r="L78" s="646"/>
      <c r="M78" s="666" t="s">
        <v>486</v>
      </c>
      <c r="N78" s="667"/>
      <c r="O78" s="406"/>
    </row>
    <row r="79" spans="1:15" s="318" customFormat="1" ht="12" hidden="1" customHeight="1" thickBot="1" x14ac:dyDescent="0.2">
      <c r="A79" s="315"/>
      <c r="B79" s="557" t="e">
        <f ca="1">2*(SQRT(I79/3.14))*1000</f>
        <v>#DIV/0!</v>
      </c>
      <c r="C79" s="558">
        <v>0</v>
      </c>
      <c r="D79" s="558">
        <v>0</v>
      </c>
      <c r="E79" s="471" t="e">
        <f ca="1">ROUND(((L29*0.0000001*C46*L28*60*L31)/((D79*1*C79*0.95)+(L30/2*(D79+(1*C79/2))*L28*60*L31))),3)</f>
        <v>#DIV/0!</v>
      </c>
      <c r="F79" s="551" t="s">
        <v>203</v>
      </c>
      <c r="G79" s="471" t="e">
        <f ca="1">C79*E79*D79</f>
        <v>#DIV/0!</v>
      </c>
      <c r="H79" s="552" t="s">
        <v>329</v>
      </c>
      <c r="I79" s="553" t="e">
        <f ca="1">E79*D79</f>
        <v>#DIV/0!</v>
      </c>
      <c r="J79" s="554" t="s">
        <v>480</v>
      </c>
      <c r="K79" s="555">
        <f>C79/L30/3600</f>
        <v>0</v>
      </c>
      <c r="L79" s="556" t="s">
        <v>39</v>
      </c>
      <c r="M79" s="668"/>
      <c r="N79" s="669"/>
      <c r="O79" s="326"/>
    </row>
    <row r="80" spans="1:15" s="318" customFormat="1" ht="6" customHeight="1" x14ac:dyDescent="0.15">
      <c r="A80" s="315"/>
      <c r="B80" s="315"/>
      <c r="C80" s="315"/>
      <c r="D80" s="315"/>
      <c r="E80" s="315"/>
      <c r="F80" s="315"/>
      <c r="G80" s="315"/>
      <c r="H80" s="315"/>
      <c r="I80" s="315"/>
      <c r="J80" s="315"/>
      <c r="K80" s="341"/>
      <c r="L80" s="341"/>
      <c r="M80" s="341"/>
      <c r="N80" s="341"/>
      <c r="O80" s="341"/>
    </row>
    <row r="81" spans="1:15" s="416" customFormat="1" ht="12" customHeight="1" x14ac:dyDescent="0.2">
      <c r="A81" s="313"/>
      <c r="B81" s="414" t="s">
        <v>451</v>
      </c>
      <c r="C81" s="313"/>
      <c r="D81" s="313"/>
      <c r="E81" s="313"/>
      <c r="F81" s="313"/>
      <c r="G81" s="313"/>
      <c r="H81" s="313"/>
      <c r="I81" s="414" t="s">
        <v>452</v>
      </c>
      <c r="K81" s="415"/>
      <c r="L81" s="415"/>
      <c r="M81" s="415"/>
      <c r="N81" s="415"/>
      <c r="O81" s="415"/>
    </row>
    <row r="82" spans="1:15" s="318" customFormat="1" ht="12" customHeight="1" x14ac:dyDescent="0.15">
      <c r="A82" s="315"/>
      <c r="B82" s="315"/>
      <c r="C82" s="315"/>
      <c r="D82" s="315"/>
      <c r="E82" s="315"/>
      <c r="F82" s="315"/>
      <c r="G82" s="315"/>
      <c r="H82" s="315"/>
      <c r="I82" s="315"/>
      <c r="J82" s="315"/>
      <c r="K82" s="341"/>
      <c r="L82" s="341"/>
      <c r="M82" s="341"/>
      <c r="N82" s="341"/>
      <c r="O82" s="341"/>
    </row>
    <row r="83" spans="1:15" s="318" customFormat="1" ht="12" customHeight="1" x14ac:dyDescent="0.15">
      <c r="A83" s="315"/>
      <c r="B83" s="315"/>
      <c r="C83" s="315"/>
      <c r="D83" s="315"/>
      <c r="E83" s="315"/>
      <c r="F83" s="315"/>
      <c r="G83" s="315"/>
      <c r="H83" s="315"/>
      <c r="I83" s="315"/>
      <c r="J83" s="315"/>
      <c r="K83" s="341"/>
      <c r="L83" s="341"/>
      <c r="M83" s="341"/>
      <c r="N83" s="341"/>
      <c r="O83" s="341"/>
    </row>
    <row r="84" spans="1:15" s="318" customFormat="1" ht="12" customHeight="1" x14ac:dyDescent="0.15">
      <c r="A84" s="315"/>
      <c r="B84" s="315"/>
      <c r="C84" s="315"/>
      <c r="D84" s="315"/>
      <c r="E84" s="315"/>
      <c r="F84" s="315"/>
      <c r="G84" s="315"/>
      <c r="H84" s="315"/>
      <c r="I84" s="315"/>
      <c r="J84" s="315"/>
      <c r="K84" s="341"/>
      <c r="L84" s="341"/>
      <c r="M84" s="341"/>
      <c r="N84" s="341"/>
      <c r="O84" s="341"/>
    </row>
    <row r="85" spans="1:15" s="318" customFormat="1" ht="12" customHeight="1" x14ac:dyDescent="0.15">
      <c r="A85" s="315"/>
      <c r="B85" s="315"/>
      <c r="C85" s="315"/>
      <c r="D85" s="315"/>
      <c r="E85" s="315"/>
      <c r="F85" s="315"/>
      <c r="G85" s="315"/>
      <c r="H85" s="315"/>
      <c r="I85" s="315"/>
      <c r="J85" s="315"/>
      <c r="K85" s="341"/>
      <c r="L85" s="341"/>
      <c r="M85" s="341"/>
      <c r="N85" s="341"/>
      <c r="O85" s="341"/>
    </row>
    <row r="86" spans="1:15" s="318" customFormat="1" ht="12" customHeight="1" x14ac:dyDescent="0.15">
      <c r="A86" s="315"/>
      <c r="B86" s="315"/>
      <c r="C86" s="315"/>
      <c r="D86" s="315"/>
      <c r="E86" s="315"/>
      <c r="F86" s="315"/>
      <c r="G86" s="315"/>
      <c r="H86" s="315"/>
      <c r="I86" s="315"/>
      <c r="J86" s="315"/>
      <c r="K86" s="341"/>
      <c r="L86" s="341"/>
      <c r="M86" s="341"/>
      <c r="N86" s="341"/>
      <c r="O86" s="341"/>
    </row>
    <row r="87" spans="1:15" s="318" customFormat="1" ht="12" customHeight="1" x14ac:dyDescent="0.15">
      <c r="A87" s="315"/>
      <c r="B87" s="315"/>
      <c r="C87" s="315"/>
      <c r="D87" s="315"/>
      <c r="E87" s="315"/>
      <c r="F87" s="315"/>
      <c r="G87" s="315"/>
      <c r="H87" s="315"/>
      <c r="I87" s="315"/>
      <c r="J87" s="315"/>
      <c r="K87" s="341"/>
      <c r="L87" s="341"/>
      <c r="M87" s="341"/>
      <c r="N87" s="341"/>
      <c r="O87" s="341"/>
    </row>
    <row r="88" spans="1:15" s="318" customFormat="1" ht="12" customHeight="1" x14ac:dyDescent="0.15">
      <c r="A88" s="315"/>
      <c r="B88" s="315"/>
      <c r="C88" s="315"/>
      <c r="D88" s="315"/>
      <c r="E88" s="315"/>
      <c r="F88" s="315"/>
      <c r="G88" s="315"/>
      <c r="H88" s="315"/>
      <c r="I88" s="315"/>
      <c r="J88" s="315"/>
      <c r="K88" s="341"/>
      <c r="L88" s="341"/>
      <c r="M88" s="341"/>
      <c r="N88" s="341"/>
      <c r="O88" s="341"/>
    </row>
    <row r="89" spans="1:15" s="318" customFormat="1" ht="12" customHeight="1" x14ac:dyDescent="0.15">
      <c r="A89" s="315"/>
      <c r="B89" s="315"/>
      <c r="C89" s="315"/>
      <c r="D89" s="315"/>
      <c r="E89" s="315"/>
      <c r="F89" s="315"/>
      <c r="G89" s="315"/>
      <c r="H89" s="315"/>
      <c r="I89" s="315"/>
      <c r="J89" s="315"/>
      <c r="K89" s="341"/>
      <c r="L89" s="341"/>
      <c r="M89" s="341"/>
      <c r="N89" s="341"/>
      <c r="O89" s="341"/>
    </row>
    <row r="90" spans="1:15" s="318" customFormat="1" ht="12" customHeight="1" x14ac:dyDescent="0.15">
      <c r="A90" s="315"/>
      <c r="B90" s="315"/>
      <c r="C90" s="315"/>
      <c r="D90" s="315"/>
      <c r="E90" s="315"/>
      <c r="F90" s="315"/>
      <c r="G90" s="315"/>
      <c r="H90" s="315"/>
      <c r="I90" s="315"/>
      <c r="J90" s="315"/>
      <c r="K90" s="341"/>
      <c r="L90" s="341"/>
      <c r="M90" s="341"/>
      <c r="N90" s="341"/>
      <c r="O90" s="341"/>
    </row>
    <row r="91" spans="1:15" s="318" customFormat="1" ht="12" customHeight="1" x14ac:dyDescent="0.15">
      <c r="A91" s="315"/>
      <c r="B91" s="315"/>
      <c r="C91" s="315"/>
      <c r="D91" s="315"/>
      <c r="E91" s="315"/>
      <c r="F91" s="315"/>
      <c r="G91" s="315"/>
      <c r="H91" s="315"/>
      <c r="I91" s="315"/>
      <c r="J91" s="315"/>
      <c r="K91" s="328"/>
      <c r="L91" s="328"/>
      <c r="M91" s="328"/>
      <c r="N91" s="328"/>
      <c r="O91" s="328"/>
    </row>
    <row r="92" spans="1:15" s="318" customFormat="1" ht="12" customHeight="1" x14ac:dyDescent="0.15">
      <c r="A92" s="315"/>
      <c r="B92" s="315"/>
      <c r="C92" s="315"/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</row>
    <row r="93" spans="1:15" s="318" customFormat="1" ht="12" customHeight="1" x14ac:dyDescent="0.15">
      <c r="A93" s="315"/>
      <c r="B93" s="315"/>
      <c r="C93" s="315"/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</row>
    <row r="94" spans="1:15" s="318" customFormat="1" ht="12" customHeight="1" x14ac:dyDescent="0.15">
      <c r="A94" s="315"/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</row>
    <row r="95" spans="1:15" s="318" customFormat="1" ht="12" customHeight="1" x14ac:dyDescent="0.15">
      <c r="A95" s="315"/>
      <c r="B95" s="315"/>
      <c r="C95" s="315"/>
      <c r="D95" s="315"/>
      <c r="E95" s="315"/>
      <c r="F95" s="315"/>
      <c r="G95" s="315"/>
      <c r="H95" s="315"/>
      <c r="I95" s="315"/>
      <c r="J95" s="315"/>
      <c r="K95" s="315"/>
      <c r="L95" s="315"/>
      <c r="M95" s="315"/>
      <c r="N95" s="315"/>
      <c r="O95" s="315"/>
    </row>
    <row r="96" spans="1:15" s="318" customFormat="1" ht="12" customHeight="1" x14ac:dyDescent="0.15">
      <c r="A96" s="315"/>
      <c r="B96" s="315"/>
      <c r="C96" s="315"/>
      <c r="D96" s="315"/>
      <c r="E96" s="315"/>
      <c r="F96" s="315"/>
      <c r="G96" s="315"/>
      <c r="H96" s="315"/>
      <c r="I96" s="315"/>
      <c r="J96" s="315"/>
      <c r="K96" s="315"/>
      <c r="L96" s="315"/>
      <c r="M96" s="315"/>
      <c r="N96" s="315"/>
      <c r="O96" s="315"/>
    </row>
    <row r="97" spans="1:15" s="318" customFormat="1" ht="6" customHeight="1" x14ac:dyDescent="0.15">
      <c r="A97" s="315"/>
      <c r="B97" s="315"/>
      <c r="C97" s="315"/>
      <c r="D97" s="315"/>
      <c r="E97" s="315"/>
      <c r="F97" s="315"/>
      <c r="G97" s="315"/>
      <c r="H97" s="315"/>
      <c r="I97" s="315"/>
      <c r="J97" s="315"/>
      <c r="K97" s="315"/>
      <c r="L97" s="315"/>
      <c r="M97" s="315"/>
      <c r="N97" s="315"/>
      <c r="O97" s="315"/>
    </row>
    <row r="98" spans="1:15" s="416" customFormat="1" ht="18.75" customHeight="1" thickBot="1" x14ac:dyDescent="0.25">
      <c r="A98" s="313"/>
      <c r="B98" s="414" t="s">
        <v>450</v>
      </c>
      <c r="C98" s="740" t="s">
        <v>489</v>
      </c>
      <c r="D98" s="741"/>
      <c r="E98" s="741"/>
      <c r="F98" s="741"/>
      <c r="G98" s="741"/>
      <c r="H98" s="741"/>
      <c r="I98" s="741"/>
      <c r="J98" s="741"/>
      <c r="K98" s="741"/>
      <c r="L98" s="741"/>
      <c r="M98" s="741"/>
      <c r="N98" s="741"/>
      <c r="O98" s="741"/>
    </row>
    <row r="99" spans="1:15" s="318" customFormat="1" ht="12" customHeight="1" x14ac:dyDescent="0.15">
      <c r="A99" s="315"/>
      <c r="B99" s="370" t="s">
        <v>212</v>
      </c>
      <c r="C99" s="371"/>
      <c r="D99" s="372">
        <v>5</v>
      </c>
      <c r="E99" s="372">
        <v>10</v>
      </c>
      <c r="F99" s="372">
        <v>15</v>
      </c>
      <c r="G99" s="372">
        <v>20</v>
      </c>
      <c r="H99" s="372">
        <v>30</v>
      </c>
      <c r="I99" s="372">
        <v>40</v>
      </c>
      <c r="J99" s="372">
        <v>50</v>
      </c>
      <c r="K99" s="372">
        <v>60</v>
      </c>
      <c r="L99" s="372">
        <v>90</v>
      </c>
      <c r="M99" s="372">
        <v>120</v>
      </c>
      <c r="N99" s="373">
        <v>180</v>
      </c>
      <c r="O99" s="315" t="s">
        <v>198</v>
      </c>
    </row>
    <row r="100" spans="1:15" s="318" customFormat="1" ht="12" customHeight="1" x14ac:dyDescent="0.15">
      <c r="A100" s="315"/>
      <c r="B100" s="374">
        <v>0.5</v>
      </c>
      <c r="C100" s="359" t="s">
        <v>397</v>
      </c>
      <c r="D100" s="377">
        <f ca="1">($C$183-C177)+((C166+$L$33*$L$34*0.5)*($L$32+$L$33*$L$34*0.5))*$L$30*$C$130*60</f>
        <v>2.1700471661237777</v>
      </c>
      <c r="E100" s="377">
        <f ca="1">($D$183-D177)+((D166+$L$33*$L$34*0.5)*($L$32+$L$33*$L$34*0.5))*$L$30*$C$130*60</f>
        <v>3.2443743483870953</v>
      </c>
      <c r="F100" s="377">
        <f ca="1">($E$183-E177)+((E166+$L$33*$L$34*0.5)*($L$32+$L$33*$L$34*0.5))*$L$30*$C$130*60</f>
        <v>3.939212012779552</v>
      </c>
      <c r="G100" s="377">
        <f ca="1">($F$183-F177)+((F166+$L$33*$L$34*0.5)*($L$32+$L$33*$L$34*0.5))*$L$30*$C$130*60</f>
        <v>4.298480658227847</v>
      </c>
      <c r="H100" s="377">
        <f ca="1">($G$183-G177)+((G166+$L$33*$L$34*0.5)*($L$32+$L$33*$L$34*0.5))*$L$30*$C$130*60</f>
        <v>4.9343965714285716</v>
      </c>
      <c r="I100" s="377">
        <f ca="1">($H$183-H177)+((H166+$L$33*$L$34*0.5)*($L$32+$L$33*$L$34*0.5))*$L$30*$C$130*60</f>
        <v>5.4284724878048767</v>
      </c>
      <c r="J100" s="377">
        <f ca="1">($I$183-I177)+((I166+$L$33*$L$34*0.5)*($L$32+$L$33*$L$34*0.5))*$L$30*$C$130*60</f>
        <v>5.6009770059880228</v>
      </c>
      <c r="K100" s="377">
        <f ca="1">($J$183-J177)+((J166+$L$33*$L$34*0.5)*($L$32+$L$33*$L$34*0.5))*$L$30*$C$130*60</f>
        <v>5.8033939764705869</v>
      </c>
      <c r="L100" s="377">
        <f ca="1">($K$183-K177)+((K166+$L$33*$L$34*0.5)*($L$32+$L$33*$L$34*0.5))*$L$30*$C$130*60</f>
        <v>5.833912625698324</v>
      </c>
      <c r="M100" s="377">
        <f ca="1">($L$183-L177)+((L166+$L$33*$L$34*0.5)*($L$32+$L$33*$L$34*0.5))*$L$30*$C$130*60</f>
        <v>5.7606970212765951</v>
      </c>
      <c r="N100" s="378">
        <f ca="1">($M$183-M177)+((M166+$L$33*$L$34*0.5)*($L$32+$L$33*$L$34*0.5))*$L$30*$C$130*60</f>
        <v>5.3574479999999989</v>
      </c>
      <c r="O100" s="315" t="s">
        <v>329</v>
      </c>
    </row>
    <row r="101" spans="1:15" s="318" customFormat="1" ht="12" customHeight="1" x14ac:dyDescent="0.15">
      <c r="A101" s="315"/>
      <c r="B101" s="374">
        <v>0.2</v>
      </c>
      <c r="C101" s="360" t="s">
        <v>398</v>
      </c>
      <c r="D101" s="377">
        <f ca="1">($C$183-C178)+((C167+$L$33*$L$34*0.5)*($L$32+$L$33*$L$34*0.5))*$L$30*$C$130*60</f>
        <v>1.4509286384364826</v>
      </c>
      <c r="E101" s="377">
        <f ca="1">($D$183-D178)+((D167+$L$33*$L$34*0.5)*($L$32+$L$33*$L$34*0.5))*$L$30*$C$130*60</f>
        <v>2.2613938838709671</v>
      </c>
      <c r="F101" s="377">
        <f ca="1">($E$183-E178)+((E167+$L$33*$L$34*0.5)*($L$32+$L$33*$L$34*0.5))*$L$30*$C$130*60</f>
        <v>2.8067046900958443</v>
      </c>
      <c r="G101" s="377">
        <f ca="1">($F$183-F178)+((F167+$L$33*$L$34*0.5)*($L$32+$L$33*$L$34*0.5))*$L$30*$C$130*60</f>
        <v>3.1176852151898728</v>
      </c>
      <c r="H101" s="377">
        <f ca="1">($G$183-G178)+((G167+$L$33*$L$34*0.5)*($L$32+$L$33*$L$34*0.5))*$L$30*$C$130*60</f>
        <v>3.6597242236024861</v>
      </c>
      <c r="I101" s="377">
        <f ca="1">($H$183-H178)+((H167+$L$33*$L$34*0.5)*($L$32+$L$33*$L$34*0.5))*$L$30*$C$130*60</f>
        <v>4.1391974634146322</v>
      </c>
      <c r="J101" s="377">
        <f ca="1">($I$183-I178)+((I167+$L$33*$L$34*0.5)*($L$32+$L$33*$L$34*0.5))*$L$30*$C$130*60</f>
        <v>4.2976239520958064</v>
      </c>
      <c r="K101" s="377">
        <f ca="1">($J$183-J178)+((J167+$L$33*$L$34*0.5)*($L$32+$L$33*$L$34*0.5))*$L$30*$C$130*60</f>
        <v>4.4864597647058799</v>
      </c>
      <c r="L101" s="377">
        <f ca="1">($K$183-K178)+((K167+$L$33*$L$34*0.5)*($L$32+$L$33*$L$34*0.5))*$L$30*$C$130*60</f>
        <v>4.2705130726256968</v>
      </c>
      <c r="M101" s="377">
        <f ca="1">($L$183-L178)+((L167+$L$33*$L$34*0.5)*($L$32+$L$33*$L$34*0.5))*$L$30*$C$130*60</f>
        <v>4.1729039999999999</v>
      </c>
      <c r="N101" s="378">
        <f ca="1">($M$183-M178)+((M167+$L$33*$L$34*0.5)*($L$32+$L$33*$L$34*0.5))*$L$30*$C$130*60</f>
        <v>4.0513102492844713</v>
      </c>
      <c r="O101" s="315" t="s">
        <v>329</v>
      </c>
    </row>
    <row r="102" spans="1:15" s="318" customFormat="1" ht="12" customHeight="1" thickBot="1" x14ac:dyDescent="0.2">
      <c r="A102" s="315"/>
      <c r="B102" s="375">
        <v>0.1</v>
      </c>
      <c r="C102" s="376" t="s">
        <v>399</v>
      </c>
      <c r="D102" s="379">
        <f ca="1">($C$183-C179)+((C168+$L$33*$L$34*0.5)*($L$32+$L$33*$L$34*0.5))*$L$30*$C$130*60</f>
        <v>0.98502085993485333</v>
      </c>
      <c r="E102" s="379">
        <f ca="1">($D$183-D179)+((D168+$L$33*$L$34*0.5)*($L$32+$L$33*$L$34*0.5))*$L$30*$C$130*60</f>
        <v>1.5793258064516114</v>
      </c>
      <c r="F102" s="379">
        <f ca="1">($E$183-E179)+((E168+$L$33*$L$34*0.5)*($L$32+$L$33*$L$34*0.5))*$L$30*$C$130*60</f>
        <v>1.9424227859424916</v>
      </c>
      <c r="G102" s="379">
        <f ca="1">($F$183-F179)+((F168+$L$33*$L$34*0.5)*($L$32+$L$33*$L$34*0.5))*$L$30*$C$130*60</f>
        <v>2.1336890126582273</v>
      </c>
      <c r="H102" s="379">
        <f ca="1">($G$183-G179)+((G168+$L$33*$L$34*0.5)*($L$32+$L$33*$L$34*0.5))*$L$30*$C$130*60</f>
        <v>2.6168104844720501</v>
      </c>
      <c r="I102" s="379">
        <f ca="1">($H$183-H179)+((H168+$L$33*$L$34*0.5)*($L$32+$L$33*$L$34*0.5))*$L$30*$C$130*60</f>
        <v>3.0016018536585349</v>
      </c>
      <c r="J102" s="379">
        <f ca="1">($I$183-I179)+((I168+$L$33*$L$34*0.5)*($L$32+$L$33*$L$34*0.5))*$L$30*$C$130*60</f>
        <v>3.1804641916167662</v>
      </c>
      <c r="K102" s="379">
        <f ca="1">($J$183-J179)+((J168+$L$33*$L$34*0.5)*($L$32+$L$33*$L$34*0.5))*$L$30*$C$130*60</f>
        <v>3.3890145882352911</v>
      </c>
      <c r="L102" s="379">
        <f ca="1">($K$183-K179)+((K168+$L$33*$L$34*0.5)*($L$32+$L$33*$L$34*0.5))*$L$30*$C$130*60</f>
        <v>3.3324733407821228</v>
      </c>
      <c r="M102" s="379">
        <f ca="1">($L$183-L179)+((L168+$L$33*$L$34*0.5)*($L$32+$L$33*$L$34*0.5))*$L$30*$C$130*60</f>
        <v>3.1805333617021292</v>
      </c>
      <c r="N102" s="380">
        <f ca="1">($M$183-M179)+((M168+$L$33*$L$34*0.5)*($L$32+$L$33*$L$34*0.5))*$L$30*$C$130*60</f>
        <v>3.1838672621359221</v>
      </c>
      <c r="O102" s="315" t="s">
        <v>329</v>
      </c>
    </row>
    <row r="103" spans="1:15" s="318" customFormat="1" ht="12" customHeight="1" x14ac:dyDescent="0.15">
      <c r="A103" s="315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</row>
    <row r="104" spans="1:15" s="318" customFormat="1" ht="12" customHeight="1" thickBot="1" x14ac:dyDescent="0.2">
      <c r="A104" s="315"/>
      <c r="B104" s="315"/>
      <c r="C104" s="315"/>
      <c r="D104" s="315"/>
      <c r="E104" s="315"/>
      <c r="F104" s="315"/>
      <c r="G104" s="315"/>
      <c r="H104" s="315"/>
      <c r="I104" s="315"/>
      <c r="J104" s="315"/>
      <c r="K104" s="315"/>
      <c r="L104" s="315"/>
      <c r="M104" s="315"/>
      <c r="N104" s="315"/>
      <c r="O104" s="315"/>
    </row>
    <row r="105" spans="1:15" s="418" customFormat="1" ht="15.95" customHeight="1" x14ac:dyDescent="0.3">
      <c r="A105" s="417"/>
      <c r="B105" s="754" t="s">
        <v>389</v>
      </c>
      <c r="C105" s="755"/>
      <c r="D105" s="755"/>
      <c r="E105" s="755"/>
      <c r="F105" s="755"/>
      <c r="G105" s="755"/>
      <c r="H105" s="755"/>
      <c r="I105" s="755"/>
      <c r="J105" s="755"/>
      <c r="K105" s="755"/>
      <c r="L105" s="755"/>
      <c r="M105" s="755"/>
      <c r="N105" s="756"/>
      <c r="O105" s="417"/>
    </row>
    <row r="106" spans="1:15" s="318" customFormat="1" ht="6" customHeight="1" x14ac:dyDescent="0.25">
      <c r="A106" s="315"/>
      <c r="B106" s="530"/>
      <c r="C106" s="531"/>
      <c r="D106" s="531"/>
      <c r="E106" s="531"/>
      <c r="F106" s="531"/>
      <c r="G106" s="531"/>
      <c r="H106" s="531"/>
      <c r="I106" s="531"/>
      <c r="J106" s="531"/>
      <c r="K106" s="531"/>
      <c r="L106" s="531"/>
      <c r="M106" s="531"/>
      <c r="N106" s="532"/>
      <c r="O106" s="315"/>
    </row>
    <row r="107" spans="1:15" s="318" customFormat="1" ht="12" customHeight="1" x14ac:dyDescent="0.15">
      <c r="A107" s="315"/>
      <c r="B107" s="533"/>
      <c r="C107" s="559" t="s">
        <v>508</v>
      </c>
      <c r="D107" s="560"/>
      <c r="E107" s="561" t="s">
        <v>369</v>
      </c>
      <c r="F107" s="561" t="s">
        <v>355</v>
      </c>
      <c r="G107" s="562">
        <f>L34*100</f>
        <v>60</v>
      </c>
      <c r="H107" s="323"/>
      <c r="I107" s="563" t="s">
        <v>410</v>
      </c>
      <c r="J107" s="564"/>
      <c r="K107" s="560"/>
      <c r="L107" s="560"/>
      <c r="M107" s="565"/>
      <c r="N107" s="339"/>
      <c r="O107" s="315"/>
    </row>
    <row r="108" spans="1:15" s="318" customFormat="1" ht="12" customHeight="1" x14ac:dyDescent="0.2">
      <c r="A108" s="315"/>
      <c r="B108" s="533"/>
      <c r="C108" s="663" t="s">
        <v>453</v>
      </c>
      <c r="D108" s="664"/>
      <c r="E108" s="664"/>
      <c r="F108" s="664"/>
      <c r="G108" s="665"/>
      <c r="H108" s="323"/>
      <c r="I108" s="717" t="s">
        <v>439</v>
      </c>
      <c r="J108" s="718"/>
      <c r="K108" s="567">
        <f>L32/0.6</f>
        <v>4</v>
      </c>
      <c r="L108" s="321" t="s">
        <v>204</v>
      </c>
      <c r="M108" s="568" t="s">
        <v>331</v>
      </c>
      <c r="N108" s="339"/>
      <c r="O108" s="315"/>
    </row>
    <row r="109" spans="1:15" s="318" customFormat="1" ht="12" customHeight="1" x14ac:dyDescent="0.15">
      <c r="A109" s="315"/>
      <c r="B109" s="533"/>
      <c r="C109" s="569"/>
      <c r="D109" s="323"/>
      <c r="E109" s="570"/>
      <c r="F109" s="334" t="s">
        <v>383</v>
      </c>
      <c r="G109" s="571" t="s">
        <v>217</v>
      </c>
      <c r="H109" s="323"/>
      <c r="I109" s="717" t="s">
        <v>396</v>
      </c>
      <c r="J109" s="718"/>
      <c r="K109" s="572">
        <f ca="1">ROUND((K115/0.6),1)</f>
        <v>4</v>
      </c>
      <c r="L109" s="321" t="s">
        <v>204</v>
      </c>
      <c r="M109" s="573" t="s">
        <v>330</v>
      </c>
      <c r="N109" s="534"/>
      <c r="O109" s="315"/>
    </row>
    <row r="110" spans="1:15" s="318" customFormat="1" ht="12" customHeight="1" x14ac:dyDescent="0.15">
      <c r="A110" s="315"/>
      <c r="B110" s="533"/>
      <c r="C110" s="574"/>
      <c r="D110" s="323"/>
      <c r="E110" s="570"/>
      <c r="F110" s="334" t="s">
        <v>384</v>
      </c>
      <c r="G110" s="571" t="s">
        <v>217</v>
      </c>
      <c r="H110" s="323"/>
      <c r="I110" s="717" t="s">
        <v>438</v>
      </c>
      <c r="J110" s="718"/>
      <c r="K110" s="572">
        <f>L33</f>
        <v>2</v>
      </c>
      <c r="L110" s="321" t="s">
        <v>204</v>
      </c>
      <c r="M110" s="573" t="s">
        <v>386</v>
      </c>
      <c r="N110" s="339"/>
      <c r="O110" s="315"/>
    </row>
    <row r="111" spans="1:15" s="318" customFormat="1" ht="12" customHeight="1" x14ac:dyDescent="0.2">
      <c r="A111" s="315"/>
      <c r="B111" s="533"/>
      <c r="C111" s="575"/>
      <c r="D111" s="576"/>
      <c r="E111" s="577"/>
      <c r="F111" s="578" t="s">
        <v>385</v>
      </c>
      <c r="G111" s="579">
        <f>L34</f>
        <v>0.6</v>
      </c>
      <c r="H111" s="323"/>
      <c r="I111" s="719" t="s">
        <v>440</v>
      </c>
      <c r="J111" s="720"/>
      <c r="K111" s="580">
        <f ca="1">K119/(0.6*0.6*L34)</f>
        <v>32</v>
      </c>
      <c r="L111" s="581" t="s">
        <v>204</v>
      </c>
      <c r="M111" s="582" t="s">
        <v>370</v>
      </c>
      <c r="N111" s="339"/>
      <c r="O111" s="315"/>
    </row>
    <row r="112" spans="1:15" s="318" customFormat="1" ht="12" customHeight="1" x14ac:dyDescent="0.15">
      <c r="A112" s="315"/>
      <c r="B112" s="533"/>
      <c r="C112" s="323"/>
      <c r="D112" s="323"/>
      <c r="E112" s="323"/>
      <c r="F112" s="323"/>
      <c r="G112" s="323"/>
      <c r="H112" s="323"/>
      <c r="I112" s="323"/>
      <c r="J112" s="323"/>
      <c r="K112" s="323"/>
      <c r="L112" s="326"/>
      <c r="M112" s="323"/>
      <c r="N112" s="339"/>
      <c r="O112" s="315"/>
    </row>
    <row r="113" spans="1:15" s="318" customFormat="1" ht="18.75" customHeight="1" x14ac:dyDescent="0.15">
      <c r="A113" s="315"/>
      <c r="B113" s="533"/>
      <c r="C113" s="757" t="s">
        <v>387</v>
      </c>
      <c r="D113" s="758"/>
      <c r="E113" s="758"/>
      <c r="F113" s="758"/>
      <c r="G113" s="759"/>
      <c r="H113" s="323"/>
      <c r="I113" s="760" t="s">
        <v>411</v>
      </c>
      <c r="J113" s="761"/>
      <c r="K113" s="761"/>
      <c r="L113" s="761"/>
      <c r="M113" s="762"/>
      <c r="N113" s="339"/>
      <c r="O113" s="315"/>
    </row>
    <row r="114" spans="1:15" s="318" customFormat="1" ht="12" customHeight="1" x14ac:dyDescent="0.15">
      <c r="A114" s="315"/>
      <c r="B114" s="533"/>
      <c r="C114" s="566" t="s">
        <v>52</v>
      </c>
      <c r="D114" s="323"/>
      <c r="E114" s="567">
        <f>L27</f>
        <v>0.2</v>
      </c>
      <c r="F114" s="743" t="s">
        <v>305</v>
      </c>
      <c r="G114" s="744"/>
      <c r="H114" s="323"/>
      <c r="I114" s="574" t="s">
        <v>372</v>
      </c>
      <c r="J114" s="328"/>
      <c r="K114" s="583">
        <f ca="1">(L29*0.0000001*$C$46*L28*60*$L$31)/((L32*L33*L34*0.95)+($L$30*0.5*(L32+(L33*L34*0.5))*L28*60*$L$31))</f>
        <v>2.4300359281437127</v>
      </c>
      <c r="L114" s="321" t="s">
        <v>203</v>
      </c>
      <c r="M114" s="568"/>
      <c r="N114" s="339"/>
      <c r="O114" s="315"/>
    </row>
    <row r="115" spans="1:15" s="318" customFormat="1" ht="12" customHeight="1" x14ac:dyDescent="0.15">
      <c r="A115" s="315"/>
      <c r="B115" s="533"/>
      <c r="C115" s="566" t="s">
        <v>213</v>
      </c>
      <c r="D115" s="323"/>
      <c r="E115" s="567">
        <f>L28</f>
        <v>50</v>
      </c>
      <c r="F115" s="743" t="s">
        <v>198</v>
      </c>
      <c r="G115" s="744"/>
      <c r="H115" s="323"/>
      <c r="I115" s="574" t="s">
        <v>371</v>
      </c>
      <c r="J115" s="328"/>
      <c r="K115" s="584">
        <f ca="1">MROUND(K114,0.6)</f>
        <v>2.4</v>
      </c>
      <c r="L115" s="321" t="s">
        <v>203</v>
      </c>
      <c r="M115" s="568"/>
      <c r="N115" s="339"/>
    </row>
    <row r="116" spans="1:15" s="318" customFormat="1" ht="12" customHeight="1" x14ac:dyDescent="0.15">
      <c r="A116" s="315"/>
      <c r="B116" s="533"/>
      <c r="C116" s="585" t="s">
        <v>197</v>
      </c>
      <c r="D116" s="576"/>
      <c r="E116" s="586">
        <f ca="1">L29</f>
        <v>74</v>
      </c>
      <c r="F116" s="745" t="s">
        <v>205</v>
      </c>
      <c r="G116" s="746"/>
      <c r="H116" s="323"/>
      <c r="I116" s="574" t="s">
        <v>84</v>
      </c>
      <c r="J116" s="328"/>
      <c r="K116" s="584">
        <f>L32</f>
        <v>2.4</v>
      </c>
      <c r="L116" s="321" t="s">
        <v>203</v>
      </c>
      <c r="M116" s="568"/>
      <c r="N116" s="339"/>
    </row>
    <row r="117" spans="1:15" s="318" customFormat="1" ht="12" customHeight="1" x14ac:dyDescent="0.15">
      <c r="A117" s="315"/>
      <c r="B117" s="533"/>
      <c r="C117" s="323" t="s">
        <v>441</v>
      </c>
      <c r="D117" s="323"/>
      <c r="E117" s="323"/>
      <c r="F117" s="323"/>
      <c r="G117" s="323"/>
      <c r="H117" s="323"/>
      <c r="I117" s="574" t="s">
        <v>85</v>
      </c>
      <c r="J117" s="328"/>
      <c r="K117" s="584">
        <f>L33*L34</f>
        <v>1.2</v>
      </c>
      <c r="L117" s="321" t="s">
        <v>203</v>
      </c>
      <c r="M117" s="568"/>
      <c r="N117" s="339"/>
    </row>
    <row r="118" spans="1:15" s="318" customFormat="1" ht="12" customHeight="1" x14ac:dyDescent="0.15">
      <c r="A118" s="315"/>
      <c r="B118" s="533"/>
      <c r="C118" s="323" t="s">
        <v>442</v>
      </c>
      <c r="D118" s="323"/>
      <c r="E118" s="323"/>
      <c r="F118" s="323"/>
      <c r="G118" s="323"/>
      <c r="H118" s="323"/>
      <c r="I118" s="574" t="s">
        <v>393</v>
      </c>
      <c r="J118" s="328"/>
      <c r="K118" s="587">
        <f ca="1">(K115*K116)+((K115+K116)*2*(K117/2))</f>
        <v>11.52</v>
      </c>
      <c r="L118" s="321" t="s">
        <v>429</v>
      </c>
      <c r="M118" s="568"/>
      <c r="N118" s="339"/>
    </row>
    <row r="119" spans="1:15" s="318" customFormat="1" ht="12" customHeight="1" x14ac:dyDescent="0.15">
      <c r="B119" s="533"/>
      <c r="C119" s="739" t="s">
        <v>343</v>
      </c>
      <c r="D119" s="739"/>
      <c r="E119" s="739"/>
      <c r="F119" s="739"/>
      <c r="G119" s="739"/>
      <c r="H119" s="323"/>
      <c r="I119" s="574" t="s">
        <v>286</v>
      </c>
      <c r="J119" s="328"/>
      <c r="K119" s="587">
        <f ca="1">K115*K116*K117</f>
        <v>6.9119999999999999</v>
      </c>
      <c r="L119" s="321" t="s">
        <v>430</v>
      </c>
      <c r="M119" s="568"/>
      <c r="N119" s="339"/>
    </row>
    <row r="120" spans="1:15" s="318" customFormat="1" ht="12" customHeight="1" x14ac:dyDescent="0.15">
      <c r="B120" s="533"/>
      <c r="C120" s="739"/>
      <c r="D120" s="739"/>
      <c r="E120" s="739"/>
      <c r="F120" s="739"/>
      <c r="G120" s="739"/>
      <c r="H120" s="323"/>
      <c r="I120" s="574" t="s">
        <v>196</v>
      </c>
      <c r="J120" s="328"/>
      <c r="K120" s="587">
        <f ca="1">K119*0.95</f>
        <v>6.5663999999999998</v>
      </c>
      <c r="L120" s="321" t="s">
        <v>430</v>
      </c>
      <c r="M120" s="568"/>
      <c r="N120" s="339"/>
    </row>
    <row r="121" spans="1:15" s="318" customFormat="1" ht="12" customHeight="1" x14ac:dyDescent="0.2">
      <c r="A121" s="243"/>
      <c r="B121" s="535"/>
      <c r="C121" s="739"/>
      <c r="D121" s="739"/>
      <c r="E121" s="739"/>
      <c r="F121" s="739"/>
      <c r="G121" s="739"/>
      <c r="H121" s="244"/>
      <c r="I121" s="574" t="s">
        <v>35</v>
      </c>
      <c r="J121" s="328"/>
      <c r="K121" s="584">
        <f>L33*L34/L30/60/60</f>
        <v>6.6666666666666661</v>
      </c>
      <c r="L121" s="321" t="s">
        <v>39</v>
      </c>
      <c r="M121" s="568"/>
      <c r="N121" s="339"/>
      <c r="O121" s="243"/>
    </row>
    <row r="122" spans="1:15" ht="12" customHeight="1" x14ac:dyDescent="0.2">
      <c r="B122" s="535"/>
      <c r="C122" s="536"/>
      <c r="D122" s="633" t="s">
        <v>388</v>
      </c>
      <c r="E122" s="244"/>
      <c r="F122" s="244"/>
      <c r="G122" s="244"/>
      <c r="H122" s="244"/>
      <c r="I122" s="588" t="s">
        <v>215</v>
      </c>
      <c r="J122" s="589"/>
      <c r="K122" s="590">
        <f ca="1">(K116+(1*K117))*(K115+(1*K117))*L30*1000</f>
        <v>0.64799999999999991</v>
      </c>
      <c r="L122" s="591" t="s">
        <v>0</v>
      </c>
      <c r="M122" s="592"/>
      <c r="N122" s="537"/>
    </row>
    <row r="123" spans="1:15" s="484" customFormat="1" ht="15" customHeight="1" thickBot="1" x14ac:dyDescent="0.2">
      <c r="B123" s="624" t="s">
        <v>437</v>
      </c>
      <c r="C123" s="623" t="s">
        <v>509</v>
      </c>
      <c r="D123" s="622"/>
      <c r="E123" s="622"/>
      <c r="F123" s="622"/>
      <c r="G123" s="622"/>
      <c r="H123" s="622"/>
      <c r="I123" s="622"/>
      <c r="J123" s="538"/>
      <c r="K123" s="538"/>
      <c r="L123" s="538"/>
      <c r="M123" s="538"/>
      <c r="N123" s="539"/>
    </row>
    <row r="124" spans="1:15" s="484" customFormat="1" ht="15" customHeight="1" x14ac:dyDescent="0.2">
      <c r="B124" s="543"/>
      <c r="C124" s="544"/>
      <c r="D124" s="544"/>
      <c r="E124" s="544"/>
      <c r="F124" s="544"/>
      <c r="G124" s="544"/>
      <c r="H124" s="544"/>
      <c r="I124" s="544"/>
      <c r="J124" s="544"/>
      <c r="K124" s="544"/>
      <c r="L124" s="544"/>
      <c r="M124" s="544"/>
      <c r="N124" s="544"/>
    </row>
    <row r="125" spans="1:15" s="248" customFormat="1" ht="30" customHeight="1" x14ac:dyDescent="0.25">
      <c r="B125" s="723" t="s">
        <v>510</v>
      </c>
      <c r="C125" s="724"/>
      <c r="D125" s="724"/>
      <c r="E125" s="724"/>
      <c r="F125" s="724"/>
      <c r="G125" s="724"/>
      <c r="H125" s="724"/>
      <c r="I125" s="724"/>
      <c r="J125" s="724"/>
      <c r="K125" s="724"/>
      <c r="L125" s="724"/>
      <c r="M125" s="724"/>
      <c r="N125" s="724"/>
      <c r="O125" s="440"/>
    </row>
    <row r="126" spans="1:15" s="248" customFormat="1" ht="13.9" customHeight="1" x14ac:dyDescent="0.2"/>
    <row r="127" spans="1:15" s="248" customFormat="1" ht="13.9" customHeight="1" x14ac:dyDescent="0.2">
      <c r="B127" s="299"/>
      <c r="C127" s="244"/>
      <c r="D127" s="244"/>
      <c r="E127" s="296"/>
      <c r="F127" s="300"/>
      <c r="G127" s="296"/>
      <c r="H127" s="244"/>
      <c r="I127" s="298"/>
      <c r="J127" s="245"/>
      <c r="K127" s="300"/>
      <c r="L127" s="244"/>
    </row>
    <row r="128" spans="1:15" s="248" customFormat="1" ht="12" hidden="1" customHeight="1" x14ac:dyDescent="0.2">
      <c r="A128" s="243"/>
      <c r="B128" s="398" t="s">
        <v>80</v>
      </c>
      <c r="D128" s="246" t="str">
        <f>VLOOKUP(mesta!C1,mesta!A2:B69,2)</f>
        <v>3-Bratislava</v>
      </c>
      <c r="F128" s="244"/>
      <c r="N128" s="243"/>
    </row>
    <row r="129" spans="1:14" s="248" customFormat="1" ht="12" hidden="1" customHeight="1" thickBot="1" x14ac:dyDescent="0.25">
      <c r="A129" s="243"/>
      <c r="B129" s="248" t="s">
        <v>1</v>
      </c>
      <c r="N129" s="243"/>
    </row>
    <row r="130" spans="1:14" s="248" customFormat="1" ht="12" hidden="1" customHeight="1" thickBot="1" x14ac:dyDescent="0.25">
      <c r="A130" s="243"/>
      <c r="B130" s="395" t="s">
        <v>52</v>
      </c>
      <c r="C130" s="249">
        <v>5</v>
      </c>
      <c r="D130" s="250">
        <v>10</v>
      </c>
      <c r="E130" s="250">
        <v>15</v>
      </c>
      <c r="F130" s="250">
        <v>20</v>
      </c>
      <c r="G130" s="250">
        <v>30</v>
      </c>
      <c r="H130" s="250">
        <v>40</v>
      </c>
      <c r="I130" s="250">
        <v>50</v>
      </c>
      <c r="J130" s="250">
        <v>60</v>
      </c>
      <c r="K130" s="250">
        <v>90</v>
      </c>
      <c r="L130" s="250">
        <v>120</v>
      </c>
      <c r="M130" s="251">
        <v>180</v>
      </c>
      <c r="N130" s="243"/>
    </row>
    <row r="131" spans="1:14" s="248" customFormat="1" ht="12" hidden="1" customHeight="1" x14ac:dyDescent="0.2">
      <c r="A131" s="243"/>
      <c r="B131" s="252">
        <v>1</v>
      </c>
      <c r="C131" s="253">
        <f ca="1">mesta!R4</f>
        <v>224</v>
      </c>
      <c r="D131" s="247">
        <f ca="1">mesta!T4</f>
        <v>151</v>
      </c>
      <c r="E131" s="254">
        <f ca="1">mesta!V4</f>
        <v>117</v>
      </c>
      <c r="F131" s="247">
        <f ca="1">mesta!X4</f>
        <v>96</v>
      </c>
      <c r="G131" s="247">
        <f ca="1">mesta!Z4</f>
        <v>72</v>
      </c>
      <c r="H131" s="247">
        <f ca="1">mesta!AB4</f>
        <v>58</v>
      </c>
      <c r="I131" s="247">
        <f ca="1">mesta!AD4</f>
        <v>49</v>
      </c>
      <c r="J131" s="247">
        <f ca="1">mesta!AF4</f>
        <v>42</v>
      </c>
      <c r="K131" s="247">
        <f ca="1">mesta!AH4</f>
        <v>30</v>
      </c>
      <c r="L131" s="247">
        <f ca="1">mesta!AJ4</f>
        <v>24</v>
      </c>
      <c r="M131" s="255">
        <f ca="1">mesta!AL4</f>
        <v>17</v>
      </c>
      <c r="N131" s="243"/>
    </row>
    <row r="132" spans="1:14" s="248" customFormat="1" ht="12" hidden="1" customHeight="1" x14ac:dyDescent="0.2">
      <c r="A132" s="243"/>
      <c r="B132" s="256">
        <v>0.5</v>
      </c>
      <c r="C132" s="253">
        <f ca="1">mesta!R6</f>
        <v>274</v>
      </c>
      <c r="D132" s="247">
        <f ca="1">mesta!T6</f>
        <v>184</v>
      </c>
      <c r="E132" s="254">
        <f ca="1">mesta!V6</f>
        <v>142</v>
      </c>
      <c r="F132" s="247">
        <f ca="1">mesta!X6</f>
        <v>117</v>
      </c>
      <c r="G132" s="247">
        <f ca="1">mesta!Z6</f>
        <v>88</v>
      </c>
      <c r="H132" s="247">
        <f ca="1">mesta!AB6</f>
        <v>71</v>
      </c>
      <c r="I132" s="247">
        <f ca="1">mesta!AD6</f>
        <v>60</v>
      </c>
      <c r="J132" s="247">
        <f ca="1">mesta!AF6</f>
        <v>52</v>
      </c>
      <c r="K132" s="247">
        <f ca="1">mesta!AH6</f>
        <v>36</v>
      </c>
      <c r="L132" s="247">
        <f ca="1">mesta!AJ6</f>
        <v>28</v>
      </c>
      <c r="M132" s="255">
        <f ca="1">mesta!AL6</f>
        <v>20</v>
      </c>
      <c r="N132" s="243"/>
    </row>
    <row r="133" spans="1:14" s="248" customFormat="1" ht="12" hidden="1" customHeight="1" x14ac:dyDescent="0.2">
      <c r="A133" s="243"/>
      <c r="B133" s="256">
        <v>0.2</v>
      </c>
      <c r="C133" s="253">
        <f ca="1">mesta!R8</f>
        <v>345</v>
      </c>
      <c r="D133" s="247">
        <f ca="1">mesta!T8</f>
        <v>233</v>
      </c>
      <c r="E133" s="254">
        <f ca="1">mesta!V8</f>
        <v>180</v>
      </c>
      <c r="F133" s="247">
        <f ca="1">mesta!X8</f>
        <v>147</v>
      </c>
      <c r="G133" s="247">
        <f ca="1">mesta!Z8</f>
        <v>110</v>
      </c>
      <c r="H133" s="247">
        <f ca="1">mesta!AB8</f>
        <v>88</v>
      </c>
      <c r="I133" s="247">
        <f ca="1">mesta!AD8</f>
        <v>74</v>
      </c>
      <c r="J133" s="247">
        <f ca="1">mesta!AF8</f>
        <v>64</v>
      </c>
      <c r="K133" s="247">
        <f ca="1">mesta!AH8</f>
        <v>46</v>
      </c>
      <c r="L133" s="247">
        <f ca="1">mesta!AJ8</f>
        <v>36</v>
      </c>
      <c r="M133" s="255">
        <f ca="1">mesta!AL8</f>
        <v>25</v>
      </c>
      <c r="N133" s="243"/>
    </row>
    <row r="134" spans="1:14" s="248" customFormat="1" ht="12" hidden="1" customHeight="1" x14ac:dyDescent="0.2">
      <c r="A134" s="243"/>
      <c r="B134" s="256">
        <v>0.1</v>
      </c>
      <c r="C134" s="253">
        <f ca="1">mesta!R10</f>
        <v>391</v>
      </c>
      <c r="D134" s="247">
        <f ca="1">mesta!T10</f>
        <v>267</v>
      </c>
      <c r="E134" s="254">
        <f ca="1">mesta!V10</f>
        <v>209</v>
      </c>
      <c r="F134" s="247">
        <f ca="1">mesta!X10</f>
        <v>172</v>
      </c>
      <c r="G134" s="247">
        <f ca="1">mesta!Z10</f>
        <v>128</v>
      </c>
      <c r="H134" s="247">
        <f ca="1">mesta!AB10</f>
        <v>103</v>
      </c>
      <c r="I134" s="247">
        <f ca="1">mesta!AD10</f>
        <v>86</v>
      </c>
      <c r="J134" s="247">
        <f ca="1">mesta!AF10</f>
        <v>74</v>
      </c>
      <c r="K134" s="247">
        <f ca="1">mesta!AH10</f>
        <v>52</v>
      </c>
      <c r="L134" s="247">
        <f ca="1">mesta!AJ10</f>
        <v>41</v>
      </c>
      <c r="M134" s="255">
        <f ca="1">mesta!AL10</f>
        <v>28</v>
      </c>
      <c r="N134" s="243"/>
    </row>
    <row r="135" spans="1:14" s="248" customFormat="1" ht="12" hidden="1" customHeight="1" x14ac:dyDescent="0.2">
      <c r="A135" s="243"/>
      <c r="B135" s="256">
        <v>0.05</v>
      </c>
      <c r="C135" s="253">
        <f ca="1">mesta!R12</f>
        <v>434</v>
      </c>
      <c r="D135" s="247">
        <f ca="1">mesta!T12</f>
        <v>298</v>
      </c>
      <c r="E135" s="254">
        <f ca="1">mesta!V12</f>
        <v>233</v>
      </c>
      <c r="F135" s="247">
        <f ca="1">mesta!X12</f>
        <v>192</v>
      </c>
      <c r="G135" s="247">
        <f ca="1">mesta!Z12</f>
        <v>145</v>
      </c>
      <c r="H135" s="247">
        <f ca="1">mesta!AB12</f>
        <v>116</v>
      </c>
      <c r="I135" s="247">
        <f ca="1">mesta!AD12</f>
        <v>96</v>
      </c>
      <c r="J135" s="247">
        <f ca="1">mesta!AF12</f>
        <v>82</v>
      </c>
      <c r="K135" s="247">
        <f ca="1">mesta!AH12</f>
        <v>57</v>
      </c>
      <c r="L135" s="247">
        <f ca="1">mesta!AJ12</f>
        <v>45</v>
      </c>
      <c r="M135" s="255">
        <f ca="1">mesta!AL12</f>
        <v>31</v>
      </c>
      <c r="N135" s="243"/>
    </row>
    <row r="136" spans="1:14" s="248" customFormat="1" ht="12" hidden="1" customHeight="1" x14ac:dyDescent="0.2">
      <c r="A136" s="243"/>
      <c r="B136" s="256">
        <v>3.3000000000000002E-2</v>
      </c>
      <c r="C136" s="253">
        <f ca="1">mesta!R14</f>
        <v>454</v>
      </c>
      <c r="D136" s="247">
        <f ca="1">mesta!T14</f>
        <v>316</v>
      </c>
      <c r="E136" s="254">
        <f ca="1">mesta!V14</f>
        <v>250</v>
      </c>
      <c r="F136" s="247">
        <f ca="1">mesta!X14</f>
        <v>205</v>
      </c>
      <c r="G136" s="247">
        <f ca="1">mesta!Z14</f>
        <v>155</v>
      </c>
      <c r="H136" s="247">
        <f ca="1">mesta!AB14</f>
        <v>126</v>
      </c>
      <c r="I136" s="247">
        <f ca="1">mesta!AD14</f>
        <v>104</v>
      </c>
      <c r="J136" s="247">
        <f ca="1">mesta!AF14</f>
        <v>90</v>
      </c>
      <c r="K136" s="247">
        <f ca="1">mesta!AH14</f>
        <v>64</v>
      </c>
      <c r="L136" s="247">
        <f ca="1">mesta!AJ14</f>
        <v>50</v>
      </c>
      <c r="M136" s="255">
        <f ca="1">mesta!AL14</f>
        <v>34</v>
      </c>
      <c r="N136" s="243"/>
    </row>
    <row r="137" spans="1:14" s="248" customFormat="1" ht="12" hidden="1" customHeight="1" x14ac:dyDescent="0.2">
      <c r="A137" s="243"/>
      <c r="B137" s="256">
        <v>0.02</v>
      </c>
      <c r="C137" s="253">
        <f ca="1">mesta!R16</f>
        <v>464</v>
      </c>
      <c r="D137" s="247">
        <f ca="1">mesta!T16</f>
        <v>328</v>
      </c>
      <c r="E137" s="254">
        <f ca="1">mesta!V16</f>
        <v>258</v>
      </c>
      <c r="F137" s="247">
        <f ca="1">mesta!X16</f>
        <v>212</v>
      </c>
      <c r="G137" s="247">
        <f ca="1">mesta!Z16</f>
        <v>160</v>
      </c>
      <c r="H137" s="247">
        <f ca="1">mesta!AB16</f>
        <v>131</v>
      </c>
      <c r="I137" s="247">
        <f ca="1">mesta!AD16</f>
        <v>110</v>
      </c>
      <c r="J137" s="247">
        <f ca="1">mesta!AF16</f>
        <v>95</v>
      </c>
      <c r="K137" s="247">
        <f ca="1">mesta!AH16</f>
        <v>67</v>
      </c>
      <c r="L137" s="247">
        <f ca="1">mesta!AJ16</f>
        <v>53</v>
      </c>
      <c r="M137" s="255">
        <f ca="1">mesta!AL16</f>
        <v>37</v>
      </c>
      <c r="N137" s="243"/>
    </row>
    <row r="138" spans="1:14" s="248" customFormat="1" ht="12" hidden="1" customHeight="1" thickBot="1" x14ac:dyDescent="0.25">
      <c r="A138" s="243"/>
      <c r="B138" s="257">
        <v>0.01</v>
      </c>
      <c r="C138" s="258">
        <f ca="1">mesta!R18</f>
        <v>478</v>
      </c>
      <c r="D138" s="259">
        <f ca="1">mesta!T18</f>
        <v>339</v>
      </c>
      <c r="E138" s="260">
        <f ca="1">mesta!V18</f>
        <v>269</v>
      </c>
      <c r="F138" s="259">
        <f ca="1">mesta!X18</f>
        <v>222</v>
      </c>
      <c r="G138" s="259">
        <f ca="1">mesta!Z18</f>
        <v>170</v>
      </c>
      <c r="H138" s="259">
        <f ca="1">mesta!AB18</f>
        <v>140</v>
      </c>
      <c r="I138" s="259">
        <f ca="1">mesta!AD18</f>
        <v>118</v>
      </c>
      <c r="J138" s="259">
        <f ca="1">mesta!AF18</f>
        <v>103</v>
      </c>
      <c r="K138" s="259">
        <f ca="1">mesta!AH18</f>
        <v>72</v>
      </c>
      <c r="L138" s="259">
        <f ca="1">mesta!AJ18</f>
        <v>56</v>
      </c>
      <c r="M138" s="261">
        <f ca="1">mesta!AL18</f>
        <v>39</v>
      </c>
      <c r="N138" s="243"/>
    </row>
    <row r="139" spans="1:14" s="248" customFormat="1" ht="12" hidden="1" customHeight="1" x14ac:dyDescent="0.2">
      <c r="A139" s="243"/>
      <c r="B139" s="397" t="s">
        <v>382</v>
      </c>
      <c r="C139" s="243"/>
      <c r="D139" s="243"/>
      <c r="E139" s="243"/>
      <c r="F139" s="243"/>
      <c r="G139" s="243"/>
      <c r="H139" s="243"/>
      <c r="I139" s="243"/>
      <c r="J139" s="243"/>
      <c r="K139" s="243"/>
      <c r="L139" s="243"/>
      <c r="M139" s="243"/>
      <c r="N139" s="243"/>
    </row>
    <row r="140" spans="1:14" s="248" customFormat="1" ht="12" hidden="1" customHeight="1" x14ac:dyDescent="0.2">
      <c r="A140" s="243"/>
      <c r="B140" s="243"/>
      <c r="F140" s="244"/>
      <c r="N140" s="243"/>
    </row>
    <row r="141" spans="1:14" s="248" customFormat="1" ht="12" hidden="1" customHeight="1" thickBot="1" x14ac:dyDescent="0.25">
      <c r="A141" s="243"/>
      <c r="B141" s="262" t="s">
        <v>79</v>
      </c>
      <c r="C141" s="262"/>
      <c r="D141" s="262"/>
      <c r="E141" s="262"/>
      <c r="F141" s="244"/>
      <c r="N141" s="243"/>
    </row>
    <row r="142" spans="1:14" s="248" customFormat="1" ht="12" hidden="1" customHeight="1" thickBot="1" x14ac:dyDescent="0.25">
      <c r="A142" s="243"/>
      <c r="B142" s="396" t="s">
        <v>52</v>
      </c>
      <c r="C142" s="263">
        <v>5</v>
      </c>
      <c r="D142" s="264">
        <v>10</v>
      </c>
      <c r="E142" s="264">
        <v>15</v>
      </c>
      <c r="F142" s="264">
        <v>20</v>
      </c>
      <c r="G142" s="264">
        <v>30</v>
      </c>
      <c r="H142" s="264">
        <v>40</v>
      </c>
      <c r="I142" s="264">
        <v>50</v>
      </c>
      <c r="J142" s="264">
        <v>60</v>
      </c>
      <c r="K142" s="264">
        <v>90</v>
      </c>
      <c r="L142" s="264">
        <v>120</v>
      </c>
      <c r="M142" s="265">
        <v>180</v>
      </c>
      <c r="N142" s="243"/>
    </row>
    <row r="143" spans="1:14" s="248" customFormat="1" ht="12" hidden="1" customHeight="1" x14ac:dyDescent="0.2">
      <c r="A143" s="243"/>
      <c r="B143" s="266">
        <v>1</v>
      </c>
      <c r="C143" s="267">
        <f ca="1">C131/10000*C46</f>
        <v>6.14208</v>
      </c>
      <c r="D143" s="268">
        <f ca="1">D131/10000*C46</f>
        <v>4.1404199999999998</v>
      </c>
      <c r="E143" s="268">
        <f ca="1">E131/10000*C46</f>
        <v>3.2081399999999998</v>
      </c>
      <c r="F143" s="268">
        <f ca="1">F131/10000*C46</f>
        <v>2.6323199999999995</v>
      </c>
      <c r="G143" s="268">
        <f ca="1">G131/10000*C46</f>
        <v>1.9742399999999998</v>
      </c>
      <c r="H143" s="268">
        <f ca="1">H131/10000*C46</f>
        <v>1.5903599999999998</v>
      </c>
      <c r="I143" s="268">
        <f ca="1">I131/10000*C46</f>
        <v>1.34358</v>
      </c>
      <c r="J143" s="268">
        <f ca="1">J131/10000*C46</f>
        <v>1.1516399999999998</v>
      </c>
      <c r="K143" s="268">
        <f ca="1">K131/10000*C46</f>
        <v>0.8226</v>
      </c>
      <c r="L143" s="268">
        <f ca="1">L131/10000*C46</f>
        <v>0.65807999999999989</v>
      </c>
      <c r="M143" s="269">
        <f ca="1">M131/10000*C46</f>
        <v>0.46613999999999994</v>
      </c>
      <c r="N143" s="243"/>
    </row>
    <row r="144" spans="1:14" s="248" customFormat="1" ht="12" hidden="1" customHeight="1" x14ac:dyDescent="0.2">
      <c r="A144" s="243"/>
      <c r="B144" s="270">
        <v>0.5</v>
      </c>
      <c r="C144" s="271">
        <f ca="1">C132/10000*C46</f>
        <v>7.5130799999999995</v>
      </c>
      <c r="D144" s="272">
        <f ca="1">D132/10000*C46</f>
        <v>5.04528</v>
      </c>
      <c r="E144" s="272">
        <f ca="1">E132/10000*C46</f>
        <v>3.89364</v>
      </c>
      <c r="F144" s="272">
        <f ca="1">F132/10000*C46</f>
        <v>3.2081399999999998</v>
      </c>
      <c r="G144" s="272">
        <f ca="1">G132/10000*C46</f>
        <v>2.41296</v>
      </c>
      <c r="H144" s="272">
        <f ca="1">H132/10000*C46</f>
        <v>1.94682</v>
      </c>
      <c r="I144" s="272">
        <f ca="1">I132/10000*C46</f>
        <v>1.6452</v>
      </c>
      <c r="J144" s="272">
        <f ca="1">J132/10000*C46</f>
        <v>1.4258399999999998</v>
      </c>
      <c r="K144" s="272">
        <f ca="1">K132/10000*C46</f>
        <v>0.98711999999999989</v>
      </c>
      <c r="L144" s="272">
        <f ca="1">L132/10000*C46</f>
        <v>0.76776</v>
      </c>
      <c r="M144" s="273">
        <f ca="1">M132/10000*C46</f>
        <v>0.5484</v>
      </c>
      <c r="N144" s="243"/>
    </row>
    <row r="145" spans="1:14" s="248" customFormat="1" ht="12" hidden="1" customHeight="1" x14ac:dyDescent="0.2">
      <c r="A145" s="243"/>
      <c r="B145" s="270">
        <v>0.2</v>
      </c>
      <c r="C145" s="271">
        <f ca="1">C133/10000*C46</f>
        <v>9.4599000000000011</v>
      </c>
      <c r="D145" s="272">
        <f ca="1">D133/10000*C46</f>
        <v>6.3888600000000002</v>
      </c>
      <c r="E145" s="272">
        <f ca="1">E133/10000*C46</f>
        <v>4.9355999999999991</v>
      </c>
      <c r="F145" s="272">
        <f ca="1">F133/10000*C46</f>
        <v>4.0307399999999998</v>
      </c>
      <c r="G145" s="272">
        <f ca="1">G133/10000*C46</f>
        <v>3.0161999999999995</v>
      </c>
      <c r="H145" s="272">
        <f ca="1">H133/10000*C46</f>
        <v>2.41296</v>
      </c>
      <c r="I145" s="272">
        <f ca="1">I133/10000*C46</f>
        <v>2.02908</v>
      </c>
      <c r="J145" s="272">
        <f ca="1">J133/10000*C46</f>
        <v>1.75488</v>
      </c>
      <c r="K145" s="272">
        <f ca="1">K133/10000*C46</f>
        <v>1.26132</v>
      </c>
      <c r="L145" s="272">
        <f ca="1">L133/10000*C46</f>
        <v>0.98711999999999989</v>
      </c>
      <c r="M145" s="273">
        <f ca="1">M133/10000*C46</f>
        <v>0.6855</v>
      </c>
      <c r="N145" s="243"/>
    </row>
    <row r="146" spans="1:14" s="248" customFormat="1" ht="12" hidden="1" customHeight="1" x14ac:dyDescent="0.2">
      <c r="A146" s="243"/>
      <c r="B146" s="270">
        <v>0.1</v>
      </c>
      <c r="C146" s="271">
        <f ca="1">C134/10000*C46</f>
        <v>10.721220000000001</v>
      </c>
      <c r="D146" s="272">
        <f ca="1">D134/10000*C46</f>
        <v>7.3211399999999998</v>
      </c>
      <c r="E146" s="272">
        <f ca="1">E134/10000*C46</f>
        <v>5.7307799999999993</v>
      </c>
      <c r="F146" s="272">
        <f ca="1">F134/10000*C46</f>
        <v>4.71624</v>
      </c>
      <c r="G146" s="272">
        <f ca="1">G134/10000*C46</f>
        <v>3.50976</v>
      </c>
      <c r="H146" s="272">
        <f ca="1">H134/10000*C46</f>
        <v>2.8242599999999998</v>
      </c>
      <c r="I146" s="272">
        <f ca="1">I134/10000*C46</f>
        <v>2.35812</v>
      </c>
      <c r="J146" s="272">
        <f ca="1">J134/10000*C46</f>
        <v>2.02908</v>
      </c>
      <c r="K146" s="272">
        <f ca="1">K134/10000*C46</f>
        <v>1.4258399999999998</v>
      </c>
      <c r="L146" s="272">
        <f ca="1">L134/10000*C46</f>
        <v>1.12422</v>
      </c>
      <c r="M146" s="273">
        <f ca="1">M134/10000*C46</f>
        <v>0.76776</v>
      </c>
      <c r="N146" s="243"/>
    </row>
    <row r="147" spans="1:14" s="248" customFormat="1" ht="12" hidden="1" customHeight="1" x14ac:dyDescent="0.2">
      <c r="A147" s="243"/>
      <c r="B147" s="270">
        <v>0.05</v>
      </c>
      <c r="C147" s="271">
        <f ca="1">C135/10000*C46</f>
        <v>11.90028</v>
      </c>
      <c r="D147" s="272">
        <f ca="1">D135/10000*C46</f>
        <v>8.1711600000000004</v>
      </c>
      <c r="E147" s="272">
        <f ca="1">E135/10000*C46</f>
        <v>6.3888600000000002</v>
      </c>
      <c r="F147" s="272">
        <f ca="1">F135/10000*C46</f>
        <v>5.2646399999999991</v>
      </c>
      <c r="G147" s="272">
        <f ca="1">G135/10000*C46</f>
        <v>3.9759000000000002</v>
      </c>
      <c r="H147" s="272">
        <f ca="1">H135/10000*C46</f>
        <v>3.1807199999999995</v>
      </c>
      <c r="I147" s="272">
        <f ca="1">I135/10000*C46</f>
        <v>2.6323199999999995</v>
      </c>
      <c r="J147" s="272">
        <f ca="1">J135/10000*C46</f>
        <v>2.24844</v>
      </c>
      <c r="K147" s="272">
        <f ca="1">K135/10000*C46</f>
        <v>1.56294</v>
      </c>
      <c r="L147" s="272">
        <f ca="1">L135/10000*C46</f>
        <v>1.2338999999999998</v>
      </c>
      <c r="M147" s="273">
        <f ca="1">M135/10000*C46</f>
        <v>0.85001999999999989</v>
      </c>
      <c r="N147" s="243"/>
    </row>
    <row r="148" spans="1:14" ht="12" hidden="1" customHeight="1" x14ac:dyDescent="0.2">
      <c r="B148" s="270">
        <v>3.3000000000000002E-2</v>
      </c>
      <c r="C148" s="271">
        <f ca="1">C136/10000*C46</f>
        <v>12.44868</v>
      </c>
      <c r="D148" s="272">
        <f ca="1">D136/10000*C46</f>
        <v>8.6647200000000009</v>
      </c>
      <c r="E148" s="272">
        <f ca="1">E136/10000*C46</f>
        <v>6.8550000000000004</v>
      </c>
      <c r="F148" s="272">
        <f ca="1">F136/10000*C46</f>
        <v>5.6211000000000002</v>
      </c>
      <c r="G148" s="272">
        <f ca="1">G136/10000*C46</f>
        <v>4.2500999999999998</v>
      </c>
      <c r="H148" s="272">
        <f ca="1">H136/10000*C46</f>
        <v>3.45492</v>
      </c>
      <c r="I148" s="272">
        <f ca="1">I136/10000*C46</f>
        <v>2.8516799999999995</v>
      </c>
      <c r="J148" s="272">
        <f ca="1">J136/10000*C46</f>
        <v>2.4677999999999995</v>
      </c>
      <c r="K148" s="272">
        <f ca="1">K136/10000*C46</f>
        <v>1.75488</v>
      </c>
      <c r="L148" s="272">
        <f ca="1">L136/10000*C46</f>
        <v>1.371</v>
      </c>
      <c r="M148" s="273">
        <f ca="1">M136/10000*C46</f>
        <v>0.93227999999999989</v>
      </c>
    </row>
    <row r="149" spans="1:14" ht="12" hidden="1" customHeight="1" x14ac:dyDescent="0.2">
      <c r="B149" s="270">
        <v>0.02</v>
      </c>
      <c r="C149" s="271">
        <f ca="1">C137/10000*C46</f>
        <v>12.722879999999998</v>
      </c>
      <c r="D149" s="272">
        <f ca="1">D137/10000*C46</f>
        <v>8.99376</v>
      </c>
      <c r="E149" s="272">
        <f ca="1">E137/10000*C46</f>
        <v>7.0743599999999995</v>
      </c>
      <c r="F149" s="272">
        <f ca="1">F137/10000*C46</f>
        <v>5.81304</v>
      </c>
      <c r="G149" s="272">
        <f ca="1">G137/10000*C46</f>
        <v>4.3872</v>
      </c>
      <c r="H149" s="272">
        <f ca="1">H137/10000*C46</f>
        <v>3.5920200000000002</v>
      </c>
      <c r="I149" s="272">
        <f ca="1">I137/10000*C46</f>
        <v>3.0161999999999995</v>
      </c>
      <c r="J149" s="272">
        <f ca="1">J137/10000*C46</f>
        <v>2.6048999999999998</v>
      </c>
      <c r="K149" s="272">
        <f ca="1">K137/10000*C46</f>
        <v>1.83714</v>
      </c>
      <c r="L149" s="272">
        <f ca="1">L137/10000*C46</f>
        <v>1.45326</v>
      </c>
      <c r="M149" s="273">
        <f ca="1">M137/10000*C46</f>
        <v>1.01454</v>
      </c>
    </row>
    <row r="150" spans="1:14" ht="12" hidden="1" customHeight="1" thickBot="1" x14ac:dyDescent="0.25">
      <c r="B150" s="274">
        <v>0.01</v>
      </c>
      <c r="C150" s="275">
        <f ca="1">C138/10000*C46</f>
        <v>13.10676</v>
      </c>
      <c r="D150" s="276">
        <f ca="1">D138/10000*C46</f>
        <v>9.2953799999999998</v>
      </c>
      <c r="E150" s="276">
        <f ca="1">E138/10000*C46</f>
        <v>7.3759800000000002</v>
      </c>
      <c r="F150" s="276">
        <f ca="1">F138/10000*C46</f>
        <v>6.0872400000000004</v>
      </c>
      <c r="G150" s="276">
        <f ca="1">G138/10000*C46</f>
        <v>4.6614000000000004</v>
      </c>
      <c r="H150" s="276">
        <f ca="1">H138/10000*C46</f>
        <v>3.8388</v>
      </c>
      <c r="I150" s="276">
        <f ca="1">I138/10000*C46</f>
        <v>3.23556</v>
      </c>
      <c r="J150" s="276">
        <f ca="1">J138/10000*C46</f>
        <v>2.8242599999999998</v>
      </c>
      <c r="K150" s="276">
        <f ca="1">K138/10000*C46</f>
        <v>1.9742399999999998</v>
      </c>
      <c r="L150" s="276">
        <f ca="1">L138/10000*C46</f>
        <v>1.53552</v>
      </c>
      <c r="M150" s="277">
        <f ca="1">M138/10000*C46</f>
        <v>1.06938</v>
      </c>
    </row>
    <row r="151" spans="1:14" ht="12" hidden="1" customHeight="1" x14ac:dyDescent="0.2">
      <c r="B151" s="248"/>
      <c r="C151" s="248"/>
      <c r="D151" s="248"/>
      <c r="E151" s="248"/>
      <c r="F151" s="248"/>
      <c r="G151" s="248"/>
      <c r="H151" s="248"/>
      <c r="I151" s="248"/>
      <c r="J151" s="248"/>
      <c r="K151" s="248"/>
      <c r="L151" s="248"/>
      <c r="M151" s="248"/>
    </row>
    <row r="152" spans="1:14" ht="12" hidden="1" customHeight="1" thickBot="1" x14ac:dyDescent="0.25">
      <c r="B152" s="262" t="s">
        <v>42</v>
      </c>
      <c r="C152" s="262"/>
      <c r="D152" s="262"/>
      <c r="E152" s="262"/>
      <c r="F152" s="262"/>
      <c r="G152" s="262"/>
      <c r="H152" s="262"/>
      <c r="I152" s="262"/>
      <c r="J152" s="248"/>
      <c r="K152" s="248"/>
      <c r="L152" s="248"/>
      <c r="M152" s="248"/>
    </row>
    <row r="153" spans="1:14" ht="12" hidden="1" customHeight="1" thickBot="1" x14ac:dyDescent="0.25">
      <c r="B153" s="396" t="s">
        <v>52</v>
      </c>
      <c r="C153" s="263">
        <v>5</v>
      </c>
      <c r="D153" s="264">
        <v>10</v>
      </c>
      <c r="E153" s="264">
        <v>15</v>
      </c>
      <c r="F153" s="264">
        <v>20</v>
      </c>
      <c r="G153" s="264">
        <v>30</v>
      </c>
      <c r="H153" s="264">
        <v>40</v>
      </c>
      <c r="I153" s="264">
        <v>50</v>
      </c>
      <c r="J153" s="264">
        <v>60</v>
      </c>
      <c r="K153" s="264">
        <v>90</v>
      </c>
      <c r="L153" s="264">
        <v>120</v>
      </c>
      <c r="M153" s="265">
        <v>180</v>
      </c>
    </row>
    <row r="154" spans="1:14" ht="12" hidden="1" customHeight="1" x14ac:dyDescent="0.2">
      <c r="B154" s="266">
        <v>1</v>
      </c>
      <c r="C154" s="278">
        <f t="shared" ref="C154:C161" ca="1" si="0">C131*$C$130*60/10000*$C$46/1000</f>
        <v>1.8426239999999998</v>
      </c>
      <c r="D154" s="279">
        <f t="shared" ref="D154:D161" ca="1" si="1">D131*$D$130*60/10000*$C$46/1000</f>
        <v>2.4842520000000001</v>
      </c>
      <c r="E154" s="279">
        <f t="shared" ref="E154:E161" ca="1" si="2">E131*$E$130*60/10000*$C$46/1000</f>
        <v>2.8873259999999994</v>
      </c>
      <c r="F154" s="279">
        <f t="shared" ref="F154:F161" ca="1" si="3">F131*$F$130*60/10000*$C$46/1000</f>
        <v>3.1587839999999998</v>
      </c>
      <c r="G154" s="279">
        <f t="shared" ref="G154:G161" ca="1" si="4">G131*$G$130*60/10000*$C$46/1000</f>
        <v>3.5536319999999999</v>
      </c>
      <c r="H154" s="279">
        <f t="shared" ref="H154:H161" ca="1" si="5">H131*$H$130*60/10000*$C$46/1000</f>
        <v>3.8168639999999998</v>
      </c>
      <c r="I154" s="279">
        <f t="shared" ref="I154:I161" ca="1" si="6">I131*$I$130*60/10000*$C$46/1000</f>
        <v>4.0307399999999998</v>
      </c>
      <c r="J154" s="279">
        <f t="shared" ref="J154:J161" ca="1" si="7">J131*$J$130*60/10000*$C$46/1000</f>
        <v>4.1459039999999998</v>
      </c>
      <c r="K154" s="279">
        <f t="shared" ref="K154:K161" ca="1" si="8">K131*$K$130*60/10000*$C$46/1000</f>
        <v>4.4420399999999995</v>
      </c>
      <c r="L154" s="279">
        <f t="shared" ref="L154:L161" ca="1" si="9">L131*$L$130*60/10000*$C$46/1000</f>
        <v>4.7381760000000002</v>
      </c>
      <c r="M154" s="280">
        <f t="shared" ref="M154:M161" ca="1" si="10">M131*$M$130*60/10000*$C$46/1000</f>
        <v>5.0343119999999999</v>
      </c>
    </row>
    <row r="155" spans="1:14" ht="12" hidden="1" customHeight="1" x14ac:dyDescent="0.2">
      <c r="B155" s="270">
        <v>0.5</v>
      </c>
      <c r="C155" s="281">
        <f t="shared" ca="1" si="0"/>
        <v>2.253924</v>
      </c>
      <c r="D155" s="282">
        <f t="shared" ca="1" si="1"/>
        <v>3.0271679999999996</v>
      </c>
      <c r="E155" s="282">
        <f t="shared" ca="1" si="2"/>
        <v>3.5042759999999999</v>
      </c>
      <c r="F155" s="282">
        <f t="shared" ca="1" si="3"/>
        <v>3.8497679999999996</v>
      </c>
      <c r="G155" s="282">
        <f t="shared" ca="1" si="4"/>
        <v>4.3433279999999996</v>
      </c>
      <c r="H155" s="282">
        <f t="shared" ca="1" si="5"/>
        <v>4.6723679999999996</v>
      </c>
      <c r="I155" s="282">
        <f t="shared" ca="1" si="6"/>
        <v>4.9355999999999991</v>
      </c>
      <c r="J155" s="282">
        <f t="shared" ca="1" si="7"/>
        <v>5.1330239999999998</v>
      </c>
      <c r="K155" s="282">
        <f t="shared" ca="1" si="8"/>
        <v>5.3304480000000005</v>
      </c>
      <c r="L155" s="282">
        <f t="shared" ca="1" si="9"/>
        <v>5.5278719999999995</v>
      </c>
      <c r="M155" s="283">
        <f t="shared" ca="1" si="10"/>
        <v>5.92272</v>
      </c>
    </row>
    <row r="156" spans="1:14" ht="12" hidden="1" customHeight="1" x14ac:dyDescent="0.2">
      <c r="B156" s="270">
        <v>0.2</v>
      </c>
      <c r="C156" s="281">
        <f t="shared" ca="1" si="0"/>
        <v>2.8379699999999999</v>
      </c>
      <c r="D156" s="282">
        <f t="shared" ca="1" si="1"/>
        <v>3.8333159999999999</v>
      </c>
      <c r="E156" s="282">
        <f t="shared" ca="1" si="2"/>
        <v>4.4420399999999995</v>
      </c>
      <c r="F156" s="282">
        <f t="shared" ca="1" si="3"/>
        <v>4.8368880000000001</v>
      </c>
      <c r="G156" s="282">
        <f t="shared" ca="1" si="4"/>
        <v>5.4291599999999995</v>
      </c>
      <c r="H156" s="282">
        <f t="shared" ca="1" si="5"/>
        <v>5.7911040000000007</v>
      </c>
      <c r="I156" s="282">
        <f t="shared" ca="1" si="6"/>
        <v>6.0872399999999995</v>
      </c>
      <c r="J156" s="282">
        <f t="shared" ca="1" si="7"/>
        <v>6.3175679999999996</v>
      </c>
      <c r="K156" s="282">
        <f t="shared" ca="1" si="8"/>
        <v>6.8111280000000001</v>
      </c>
      <c r="L156" s="282">
        <f t="shared" ca="1" si="9"/>
        <v>7.1072639999999998</v>
      </c>
      <c r="M156" s="283">
        <f t="shared" ca="1" si="10"/>
        <v>7.4033999999999995</v>
      </c>
    </row>
    <row r="157" spans="1:14" ht="12" hidden="1" customHeight="1" x14ac:dyDescent="0.2">
      <c r="B157" s="270">
        <v>0.1</v>
      </c>
      <c r="C157" s="281">
        <f t="shared" ca="1" si="0"/>
        <v>3.2163659999999998</v>
      </c>
      <c r="D157" s="282">
        <f t="shared" ca="1" si="1"/>
        <v>4.3926839999999991</v>
      </c>
      <c r="E157" s="282">
        <f t="shared" ca="1" si="2"/>
        <v>5.1577019999999996</v>
      </c>
      <c r="F157" s="282">
        <f t="shared" ca="1" si="3"/>
        <v>5.6594880000000005</v>
      </c>
      <c r="G157" s="282">
        <f t="shared" ca="1" si="4"/>
        <v>6.3175679999999996</v>
      </c>
      <c r="H157" s="282">
        <f t="shared" ca="1" si="5"/>
        <v>6.7782239999999989</v>
      </c>
      <c r="I157" s="282">
        <f t="shared" ca="1" si="6"/>
        <v>7.0743599999999995</v>
      </c>
      <c r="J157" s="282">
        <f t="shared" ca="1" si="7"/>
        <v>7.3046880000000005</v>
      </c>
      <c r="K157" s="282">
        <f t="shared" ca="1" si="8"/>
        <v>7.6995359999999993</v>
      </c>
      <c r="L157" s="282">
        <f t="shared" ca="1" si="9"/>
        <v>8.0943839999999998</v>
      </c>
      <c r="M157" s="283">
        <f t="shared" ca="1" si="10"/>
        <v>8.2918079999999996</v>
      </c>
    </row>
    <row r="158" spans="1:14" ht="12" hidden="1" customHeight="1" x14ac:dyDescent="0.2">
      <c r="B158" s="270">
        <v>0.05</v>
      </c>
      <c r="C158" s="281">
        <f t="shared" ca="1" si="0"/>
        <v>3.570084</v>
      </c>
      <c r="D158" s="282">
        <f t="shared" ca="1" si="1"/>
        <v>4.9026959999999997</v>
      </c>
      <c r="E158" s="282">
        <f t="shared" ca="1" si="2"/>
        <v>5.749973999999999</v>
      </c>
      <c r="F158" s="282">
        <f t="shared" ca="1" si="3"/>
        <v>6.3175679999999996</v>
      </c>
      <c r="G158" s="282">
        <f t="shared" ca="1" si="4"/>
        <v>7.1566200000000002</v>
      </c>
      <c r="H158" s="282">
        <f t="shared" ca="1" si="5"/>
        <v>7.6337279999999996</v>
      </c>
      <c r="I158" s="282">
        <f t="shared" ca="1" si="6"/>
        <v>7.89696</v>
      </c>
      <c r="J158" s="282">
        <f t="shared" ca="1" si="7"/>
        <v>8.0943839999999998</v>
      </c>
      <c r="K158" s="282">
        <f t="shared" ca="1" si="8"/>
        <v>8.4398759999999999</v>
      </c>
      <c r="L158" s="282">
        <f t="shared" ca="1" si="9"/>
        <v>8.8840799999999991</v>
      </c>
      <c r="M158" s="283">
        <f t="shared" ca="1" si="10"/>
        <v>9.1802159999999979</v>
      </c>
    </row>
    <row r="159" spans="1:14" ht="12" hidden="1" customHeight="1" x14ac:dyDescent="0.2">
      <c r="B159" s="270">
        <v>3.3000000000000002E-2</v>
      </c>
      <c r="C159" s="281">
        <f t="shared" ca="1" si="0"/>
        <v>3.734604</v>
      </c>
      <c r="D159" s="282">
        <f t="shared" ca="1" si="1"/>
        <v>5.1988320000000003</v>
      </c>
      <c r="E159" s="282">
        <f t="shared" ca="1" si="2"/>
        <v>6.1695000000000002</v>
      </c>
      <c r="F159" s="282">
        <f t="shared" ca="1" si="3"/>
        <v>6.7453199999999995</v>
      </c>
      <c r="G159" s="282">
        <f t="shared" ca="1" si="4"/>
        <v>7.6501799999999998</v>
      </c>
      <c r="H159" s="282">
        <f t="shared" ca="1" si="5"/>
        <v>8.2918079999999996</v>
      </c>
      <c r="I159" s="282">
        <f t="shared" ca="1" si="6"/>
        <v>8.5550399999999982</v>
      </c>
      <c r="J159" s="282">
        <f t="shared" ca="1" si="7"/>
        <v>8.8840799999999991</v>
      </c>
      <c r="K159" s="282">
        <f t="shared" ca="1" si="8"/>
        <v>9.4763520000000003</v>
      </c>
      <c r="L159" s="282">
        <f t="shared" ca="1" si="9"/>
        <v>9.8711999999999982</v>
      </c>
      <c r="M159" s="283">
        <f t="shared" ca="1" si="10"/>
        <v>10.068624</v>
      </c>
    </row>
    <row r="160" spans="1:14" ht="12" hidden="1" customHeight="1" x14ac:dyDescent="0.2">
      <c r="B160" s="270">
        <v>0.02</v>
      </c>
      <c r="C160" s="281">
        <f t="shared" ca="1" si="0"/>
        <v>3.8168639999999998</v>
      </c>
      <c r="D160" s="282">
        <f t="shared" ca="1" si="1"/>
        <v>5.3962559999999993</v>
      </c>
      <c r="E160" s="282">
        <f t="shared" ca="1" si="2"/>
        <v>6.3669239999999991</v>
      </c>
      <c r="F160" s="282">
        <f t="shared" ca="1" si="3"/>
        <v>6.9756480000000005</v>
      </c>
      <c r="G160" s="282">
        <f t="shared" ca="1" si="4"/>
        <v>7.89696</v>
      </c>
      <c r="H160" s="282">
        <f t="shared" ca="1" si="5"/>
        <v>8.6208480000000005</v>
      </c>
      <c r="I160" s="282">
        <f t="shared" ca="1" si="6"/>
        <v>9.0486000000000004</v>
      </c>
      <c r="J160" s="282">
        <f t="shared" ca="1" si="7"/>
        <v>9.3776400000000013</v>
      </c>
      <c r="K160" s="282">
        <f t="shared" ca="1" si="8"/>
        <v>9.9205559999999995</v>
      </c>
      <c r="L160" s="282">
        <f t="shared" ca="1" si="9"/>
        <v>10.463471999999998</v>
      </c>
      <c r="M160" s="283">
        <f t="shared" ca="1" si="10"/>
        <v>10.957032</v>
      </c>
    </row>
    <row r="161" spans="2:13" ht="12" hidden="1" customHeight="1" thickBot="1" x14ac:dyDescent="0.25">
      <c r="B161" s="274">
        <v>0.01</v>
      </c>
      <c r="C161" s="284">
        <f t="shared" ca="1" si="0"/>
        <v>3.9320279999999999</v>
      </c>
      <c r="D161" s="285">
        <f t="shared" ca="1" si="1"/>
        <v>5.5772279999999999</v>
      </c>
      <c r="E161" s="285">
        <f t="shared" ca="1" si="2"/>
        <v>6.638382</v>
      </c>
      <c r="F161" s="285">
        <f t="shared" ca="1" si="3"/>
        <v>7.3046880000000005</v>
      </c>
      <c r="G161" s="285">
        <f t="shared" ca="1" si="4"/>
        <v>8.3905200000000004</v>
      </c>
      <c r="H161" s="285">
        <f t="shared" ca="1" si="5"/>
        <v>9.21312</v>
      </c>
      <c r="I161" s="285">
        <f t="shared" ca="1" si="6"/>
        <v>9.7066799999999986</v>
      </c>
      <c r="J161" s="285">
        <f t="shared" ca="1" si="7"/>
        <v>10.167335999999999</v>
      </c>
      <c r="K161" s="285">
        <f t="shared" ca="1" si="8"/>
        <v>10.660896000000001</v>
      </c>
      <c r="L161" s="285">
        <f t="shared" ca="1" si="9"/>
        <v>11.055743999999999</v>
      </c>
      <c r="M161" s="286">
        <f t="shared" ca="1" si="10"/>
        <v>11.549303999999998</v>
      </c>
    </row>
    <row r="162" spans="2:13" ht="12" hidden="1" customHeight="1" x14ac:dyDescent="0.2">
      <c r="B162" s="248"/>
      <c r="C162" s="248"/>
      <c r="D162" s="248"/>
      <c r="E162" s="248"/>
      <c r="F162" s="248"/>
      <c r="G162" s="248"/>
      <c r="H162" s="248"/>
      <c r="I162" s="248"/>
      <c r="J162" s="248"/>
      <c r="K162" s="248"/>
      <c r="L162" s="248"/>
      <c r="M162" s="248"/>
    </row>
    <row r="163" spans="2:13" s="399" customFormat="1" ht="12" hidden="1" customHeight="1" thickBot="1" x14ac:dyDescent="0.25">
      <c r="B163" s="262" t="s">
        <v>75</v>
      </c>
      <c r="C163" s="262"/>
      <c r="D163" s="262"/>
      <c r="E163" s="262"/>
      <c r="F163" s="262"/>
      <c r="G163" s="262"/>
      <c r="H163" s="262"/>
      <c r="I163" s="262"/>
      <c r="J163" s="262"/>
      <c r="K163" s="262"/>
      <c r="L163" s="262"/>
      <c r="M163" s="262"/>
    </row>
    <row r="164" spans="2:13" ht="12" hidden="1" customHeight="1" thickBot="1" x14ac:dyDescent="0.25">
      <c r="B164" s="396" t="s">
        <v>52</v>
      </c>
      <c r="C164" s="263">
        <v>5</v>
      </c>
      <c r="D164" s="264">
        <v>10</v>
      </c>
      <c r="E164" s="264">
        <v>15</v>
      </c>
      <c r="F164" s="264">
        <v>20</v>
      </c>
      <c r="G164" s="264">
        <v>30</v>
      </c>
      <c r="H164" s="264">
        <v>40</v>
      </c>
      <c r="I164" s="264">
        <v>50</v>
      </c>
      <c r="J164" s="264">
        <v>60</v>
      </c>
      <c r="K164" s="264">
        <v>90</v>
      </c>
      <c r="L164" s="264">
        <v>120</v>
      </c>
      <c r="M164" s="265">
        <v>180</v>
      </c>
    </row>
    <row r="165" spans="2:13" ht="12" hidden="1" customHeight="1" x14ac:dyDescent="0.2">
      <c r="B165" s="266">
        <v>1</v>
      </c>
      <c r="C165" s="287">
        <f ca="1">($C$131*0.0000001*$C$46*$C$130*60*$L$31)/(($L$32*$L$33*$L$34*0.95)+($L$30*0.5*($L$32+($L$33*$L$34*0.5))*$C$130*60*$L$31))</f>
        <v>0.80027100977198684</v>
      </c>
      <c r="D165" s="288">
        <f t="shared" ref="D165:D172" ca="1" si="11">(D131*0.0000001*$C$46*$D$130*60*$L$31)/(($L$32*$L$33*$L$34*0.95)+($L$30*0.5*($L$32+($L$33*$L$34*0.5))*$D$130*60*$L$31))</f>
        <v>1.0684954838709677</v>
      </c>
      <c r="E165" s="288">
        <f t="shared" ref="E165:E172" ca="1" si="12">(E131*0.0000001*$C$46*$E$130*60*$L$31)/(($L$32*$L$33*$L$34*0.95)+($L$30*0.5*($L$32+($L$33*$L$34*0.5))*$E$130*60*$L$31))</f>
        <v>1.2299578274760383</v>
      </c>
      <c r="F165" s="288">
        <f t="shared" ref="F165:F172" ca="1" si="13">(F131*0.0000001*$C$46*$F$130*60*$L$31)/(($L$32*$L$33*$L$34*0.95)+($L$30*0.5*($L$32+($L$33*$L$34*0.5))*$F$130*60*$L$31))</f>
        <v>1.332820253164557</v>
      </c>
      <c r="G165" s="288">
        <f t="shared" ref="G165:G172" ca="1" si="14">(G131*0.0000001*$C$46*$G$130*60*$L$31)/(($L$32*$L$33*$L$34*0.95)+($L$30*0.5*($L$32+($L$33*$L$34*0.5))*$G$130*60*$L$31))</f>
        <v>1.4714832298136646</v>
      </c>
      <c r="H165" s="288">
        <f t="shared" ref="H165:H172" ca="1" si="15">(H131*0.0000001*$C$46*$H$130*60*$L$31)/(($L$32*$L$33*$L$34*0.95)+($L$30*0.5*($L$32+($L$33*$L$34*0.5))*$H$130*60*$L$31))</f>
        <v>1.5515707317073166</v>
      </c>
      <c r="I165" s="288">
        <f t="shared" ref="I165:I172" ca="1" si="16">(I131*0.0000001*$C$46*$I$130*60*$L$31)/(($L$32*$L$33*$L$34*0.95)+($L$30*0.5*($L$32+($L$33*$L$34*0.5))*$I$130*60*$L$31))</f>
        <v>1.6090778443113771</v>
      </c>
      <c r="J165" s="288">
        <f t="shared" ref="J165:J172" ca="1" si="17">(J131*0.0000001*$C$46*$J$130*60*$L$31)/(($L$32*$L$33*$L$34*0.95)+($L$30*0.5*($L$32+($L$33*$L$34*0.5))*$J$130*60*$L$31))</f>
        <v>1.6258447058823529</v>
      </c>
      <c r="K165" s="288">
        <f t="shared" ref="K165:K172" ca="1" si="18">(K131*0.0000001*$C$46*$K$130*60*$L$31)/(($L$32*$L$33*$L$34*0.95)+($L$30*0.5*($L$32+($L$33*$L$34*0.5))*$K$130*60*$L$31))</f>
        <v>1.6543910614525141</v>
      </c>
      <c r="L165" s="288">
        <f t="shared" ref="L165:L172" ca="1" si="19">(L131*0.0000001*$C$46*$L$130*60*$L$31)/(($L$32*$L$33*$L$34*0.95)+($L$30*0.5*($L$32+($L$33*$L$34*0.5))*$L$130*60*$L$31))</f>
        <v>1.6802042553191487</v>
      </c>
      <c r="M165" s="289">
        <f ca="1">(M131*0.0000001*$C$46*$M$130*60*$L$31)/(($L$32*$L$33*$L$34*0.95)+($L$30*0.5*($L$32+($L$33*$L$34*0.5))*$M$130*60*$L$31))</f>
        <v>1.6292271844660191</v>
      </c>
    </row>
    <row r="166" spans="2:13" ht="12" hidden="1" customHeight="1" x14ac:dyDescent="0.2">
      <c r="B166" s="270">
        <v>0.5</v>
      </c>
      <c r="C166" s="290">
        <f ca="1">(C132*0.0000001*$C$46*$C$130*60*$L$31)/(($L$32*$L$33*$L$34*0.95)+($L$30*0.5*($L$32+($L$33*$L$34*0.5))*$C$130*60*$L$31))</f>
        <v>0.97890293159609132</v>
      </c>
      <c r="D166" s="291">
        <f t="shared" ca="1" si="11"/>
        <v>1.3020077419354841</v>
      </c>
      <c r="E166" s="291">
        <f t="shared" ca="1" si="12"/>
        <v>1.4927693290734823</v>
      </c>
      <c r="F166" s="291">
        <f t="shared" ca="1" si="13"/>
        <v>1.6243746835443036</v>
      </c>
      <c r="G166" s="291">
        <f t="shared" ca="1" si="14"/>
        <v>1.7984795031055905</v>
      </c>
      <c r="H166" s="291">
        <f t="shared" ca="1" si="15"/>
        <v>1.8993365853658535</v>
      </c>
      <c r="I166" s="291">
        <f t="shared" ca="1" si="16"/>
        <v>1.9702994011976049</v>
      </c>
      <c r="J166" s="291">
        <f t="shared" ca="1" si="17"/>
        <v>2.0129505882352938</v>
      </c>
      <c r="K166" s="291">
        <f t="shared" ca="1" si="18"/>
        <v>1.9852692737430169</v>
      </c>
      <c r="L166" s="291">
        <f t="shared" ca="1" si="19"/>
        <v>1.9602382978723403</v>
      </c>
      <c r="M166" s="292">
        <f ca="1">(M132*0.0000001*$C$46*$M$130*60*$L$31)/(($L$32*$L$33*$L$34*0.95)+($L$30*0.5*($L$32+($L$33*$L$34*0.5))*$M$130*60*$L$31))</f>
        <v>1.91673786407767</v>
      </c>
    </row>
    <row r="167" spans="2:13" ht="12" hidden="1" customHeight="1" x14ac:dyDescent="0.2">
      <c r="B167" s="270">
        <v>0.2</v>
      </c>
      <c r="C167" s="290">
        <f ca="1">(C133*0.0000001*$C$46*$C$130*60*$L$31)/(($L$32*$L$33*L34*0.95)+($L$30*0.5*($L$32+($L$33*L34*0.5))*$C$130*60*$L$31))</f>
        <v>1.2325602605863188</v>
      </c>
      <c r="D167" s="291">
        <f t="shared" ca="1" si="11"/>
        <v>1.6487380645161289</v>
      </c>
      <c r="E167" s="291">
        <f t="shared" ca="1" si="12"/>
        <v>1.8922428115015979</v>
      </c>
      <c r="F167" s="291">
        <f t="shared" ca="1" si="13"/>
        <v>2.0408810126582275</v>
      </c>
      <c r="G167" s="291">
        <f t="shared" ca="1" si="14"/>
        <v>2.2480993788819874</v>
      </c>
      <c r="H167" s="291">
        <f t="shared" ca="1" si="15"/>
        <v>2.3541073170731708</v>
      </c>
      <c r="I167" s="291">
        <f t="shared" ca="1" si="16"/>
        <v>2.4300359281437127</v>
      </c>
      <c r="J167" s="291">
        <f t="shared" ca="1" si="17"/>
        <v>2.4774776470588238</v>
      </c>
      <c r="K167" s="291">
        <f t="shared" ca="1" si="18"/>
        <v>2.5367329608938554</v>
      </c>
      <c r="L167" s="291">
        <f t="shared" ca="1" si="19"/>
        <v>2.5203063829787236</v>
      </c>
      <c r="M167" s="292">
        <f ca="1">(M133*0.0000001*$C$46*$M$130*60*$L$31)/(($L$32*$L$33*$L$34*0.96)+($L$30*0.5*($L$32+($L$33*$L$34*0.5))*$M$130*60*$L$31))</f>
        <v>2.3774566473988439</v>
      </c>
    </row>
    <row r="168" spans="2:13" ht="12" hidden="1" customHeight="1" x14ac:dyDescent="0.2">
      <c r="B168" s="270">
        <v>0.1</v>
      </c>
      <c r="C168" s="290">
        <f ca="1">(C134*0.0000001*$C$46*$C$130*60*$L$31)/(($L$32*$L$33*$L$34*0.95)+($L$30*0.5*($L$32+($L$33*$L$34*0.5))*$C$130*60*$L$31))</f>
        <v>1.3969016286644949</v>
      </c>
      <c r="D168" s="291">
        <f t="shared" ca="1" si="11"/>
        <v>1.8893264516129036</v>
      </c>
      <c r="E168" s="291">
        <f t="shared" ca="1" si="12"/>
        <v>2.1971041533546325</v>
      </c>
      <c r="F168" s="291">
        <f t="shared" ca="1" si="13"/>
        <v>2.3879696202531644</v>
      </c>
      <c r="G168" s="291">
        <f t="shared" ca="1" si="14"/>
        <v>2.6159701863354039</v>
      </c>
      <c r="H168" s="291">
        <f t="shared" ca="1" si="15"/>
        <v>2.7553756097560975</v>
      </c>
      <c r="I168" s="291">
        <f t="shared" ca="1" si="16"/>
        <v>2.824095808383233</v>
      </c>
      <c r="J168" s="291">
        <f t="shared" ca="1" si="17"/>
        <v>2.8645835294117652</v>
      </c>
      <c r="K168" s="291">
        <f t="shared" ca="1" si="18"/>
        <v>2.8676111731843577</v>
      </c>
      <c r="L168" s="291">
        <f t="shared" ca="1" si="19"/>
        <v>2.8703489361702119</v>
      </c>
      <c r="M168" s="292">
        <f ca="1">(M134*0.0000001*$C$46*$M$130*60*$L$31)/(($L$32*$L$33*$L$34*0.95)+($L$30*0.5*($L$32+($L$33*$L$34*0.5))*$M$130*60*$L$31))</f>
        <v>2.6834330097087378</v>
      </c>
    </row>
    <row r="169" spans="2:13" ht="12" hidden="1" customHeight="1" x14ac:dyDescent="0.2">
      <c r="B169" s="270">
        <v>0.05</v>
      </c>
      <c r="C169" s="290">
        <f ca="1">(C135*0.0000001*$C$46*$C$130*60*$L$31)/(($L$32*$L$33*$L$34*0.95)+($L$30*0.5*($L$32+($L$33*$L$34*0.5))*$C$130*60*$L$31))</f>
        <v>1.5505250814332245</v>
      </c>
      <c r="D169" s="291">
        <f t="shared" ca="1" si="11"/>
        <v>2.1086864516129036</v>
      </c>
      <c r="E169" s="291">
        <f t="shared" ca="1" si="12"/>
        <v>2.4494031948881791</v>
      </c>
      <c r="F169" s="291">
        <f t="shared" ca="1" si="13"/>
        <v>2.665640506329114</v>
      </c>
      <c r="G169" s="291">
        <f t="shared" ca="1" si="14"/>
        <v>2.9634037267080751</v>
      </c>
      <c r="H169" s="291">
        <f t="shared" ca="1" si="15"/>
        <v>3.1031414634146333</v>
      </c>
      <c r="I169" s="291">
        <f t="shared" ca="1" si="16"/>
        <v>3.1524790419161675</v>
      </c>
      <c r="J169" s="291">
        <f t="shared" ca="1" si="17"/>
        <v>3.1742682352941172</v>
      </c>
      <c r="K169" s="291">
        <f t="shared" ca="1" si="18"/>
        <v>3.1433430167597769</v>
      </c>
      <c r="L169" s="291">
        <f t="shared" ca="1" si="19"/>
        <v>3.1503829787234046</v>
      </c>
      <c r="M169" s="292">
        <f ca="1">(M135*0.0000001*$C$46*$M$130*60*$L$31)/(($L$32*$L$33*$L$34*0.95)+($L$30*0.5*($L$32+($L$33*$L$34*0.5))*$M$130*60*$L$31))</f>
        <v>2.970943689320388</v>
      </c>
    </row>
    <row r="170" spans="2:13" ht="12" hidden="1" customHeight="1" x14ac:dyDescent="0.2">
      <c r="B170" s="270">
        <v>3.3000000000000002E-2</v>
      </c>
      <c r="C170" s="290">
        <f ca="1">(C136*0.0000001*$C$46*$C$130*60*$L$31)/(($L$32*$L$33*$L$34*0.95)+($L$30*0.5*($L$32+($L$33*$L$34*0.5))*$C$130*60*$L$31))</f>
        <v>1.6219778501628661</v>
      </c>
      <c r="D170" s="291">
        <f t="shared" ca="1" si="11"/>
        <v>2.2360567741935484</v>
      </c>
      <c r="E170" s="291">
        <f t="shared" ca="1" si="12"/>
        <v>2.6281150159744406</v>
      </c>
      <c r="F170" s="291">
        <f t="shared" ca="1" si="13"/>
        <v>2.8461265822784809</v>
      </c>
      <c r="G170" s="291">
        <f t="shared" ca="1" si="14"/>
        <v>3.1677763975155275</v>
      </c>
      <c r="H170" s="291">
        <f t="shared" ca="1" si="15"/>
        <v>3.3706536585365852</v>
      </c>
      <c r="I170" s="291">
        <f t="shared" ca="1" si="16"/>
        <v>3.4151856287425151</v>
      </c>
      <c r="J170" s="291">
        <f t="shared" ca="1" si="17"/>
        <v>3.4839529411764714</v>
      </c>
      <c r="K170" s="291">
        <f t="shared" ca="1" si="18"/>
        <v>3.5293675977653636</v>
      </c>
      <c r="L170" s="291">
        <f t="shared" ca="1" si="19"/>
        <v>3.5004255319148934</v>
      </c>
      <c r="M170" s="292">
        <f ca="1">(M136*0.0000001*$C$46*$M$130*60*$L$31)/(($L$32*$L$33*$L$34*0.95)+($L$30*0.5*($L$32+($L$33*$L$34*0.5))*$M$130*60*$L$31))</f>
        <v>3.2584543689320382</v>
      </c>
    </row>
    <row r="171" spans="2:13" ht="12" hidden="1" customHeight="1" x14ac:dyDescent="0.2">
      <c r="B171" s="270">
        <v>0.02</v>
      </c>
      <c r="C171" s="290">
        <f ca="1">(C137*0.0000001*$C$46*$C$130*60*$L$31)/(($L$32*$L$33*$L$34*0.95)+($L$30*0.5*($L$32+($L$33*$L$34*0.5))*$C$130*60*$L$31))</f>
        <v>1.6577042345276869</v>
      </c>
      <c r="D171" s="291">
        <f t="shared" ca="1" si="11"/>
        <v>2.3209703225806448</v>
      </c>
      <c r="E171" s="291">
        <f t="shared" ca="1" si="12"/>
        <v>2.7122146964856233</v>
      </c>
      <c r="F171" s="291">
        <f t="shared" ca="1" si="13"/>
        <v>2.9433113924050631</v>
      </c>
      <c r="G171" s="291">
        <f t="shared" ca="1" si="14"/>
        <v>3.2699627329192551</v>
      </c>
      <c r="H171" s="291">
        <f t="shared" ca="1" si="15"/>
        <v>3.5044097560975613</v>
      </c>
      <c r="I171" s="291">
        <f t="shared" ca="1" si="16"/>
        <v>3.612215568862275</v>
      </c>
      <c r="J171" s="291">
        <f t="shared" ca="1" si="17"/>
        <v>3.6775058823529405</v>
      </c>
      <c r="K171" s="291">
        <f t="shared" ca="1" si="18"/>
        <v>3.6948067039106145</v>
      </c>
      <c r="L171" s="291">
        <f t="shared" ca="1" si="19"/>
        <v>3.7104510638297867</v>
      </c>
      <c r="M171" s="292">
        <f ca="1">(M137*0.0000001*$C$46*$M$130*60*$L$31)/(($L$32*$L$33*$L$34*0.95)+($L$30*0.5*($L$32+($L$33*$L$34*0.5))*$M$130*60*$L$31))</f>
        <v>3.5459650485436893</v>
      </c>
    </row>
    <row r="172" spans="2:13" ht="12" hidden="1" customHeight="1" thickBot="1" x14ac:dyDescent="0.25">
      <c r="B172" s="274">
        <v>0.01</v>
      </c>
      <c r="C172" s="293">
        <f ca="1">(C138*0.0000001*$C$46*$C$130*60*$L$31)/(($L$32*$L$33*$L$34*0.95)+($L$30*0.5*($L$32+($L$33*$L$34*0.5))*$C$130*60*$L$31))</f>
        <v>1.7077211726384363</v>
      </c>
      <c r="D172" s="294">
        <f t="shared" ca="1" si="11"/>
        <v>2.3988077419354834</v>
      </c>
      <c r="E172" s="294">
        <f t="shared" ca="1" si="12"/>
        <v>2.8278517571884985</v>
      </c>
      <c r="F172" s="294">
        <f t="shared" ca="1" si="13"/>
        <v>3.0821468354430372</v>
      </c>
      <c r="G172" s="294">
        <f t="shared" ca="1" si="14"/>
        <v>3.4743354037267085</v>
      </c>
      <c r="H172" s="294">
        <f t="shared" ca="1" si="15"/>
        <v>3.7451707317073168</v>
      </c>
      <c r="I172" s="294">
        <f t="shared" ca="1" si="16"/>
        <v>3.8749221556886226</v>
      </c>
      <c r="J172" s="294">
        <f t="shared" ca="1" si="17"/>
        <v>3.9871905882352938</v>
      </c>
      <c r="K172" s="294">
        <f t="shared" ca="1" si="18"/>
        <v>3.9705385474860337</v>
      </c>
      <c r="L172" s="294">
        <f t="shared" ca="1" si="19"/>
        <v>3.9204765957446805</v>
      </c>
      <c r="M172" s="295">
        <f ca="1">(M138*0.0000001*$C$46*$M$130*60*$L$31)/(($L$32*$L$33*$L$34*0.95)+($L$30*0.5*($L$32+($L$33*$L$34*0.5))*$M$130*60*$L$31))</f>
        <v>3.737638834951456</v>
      </c>
    </row>
    <row r="173" spans="2:13" ht="12" hidden="1" customHeight="1" x14ac:dyDescent="0.2">
      <c r="B173" s="248"/>
      <c r="C173" s="248"/>
      <c r="D173" s="248"/>
      <c r="E173" s="248"/>
      <c r="F173" s="248"/>
      <c r="G173" s="248"/>
      <c r="H173" s="248"/>
      <c r="I173" s="248"/>
      <c r="J173" s="248"/>
      <c r="K173" s="248"/>
      <c r="L173" s="248"/>
      <c r="M173" s="248"/>
    </row>
    <row r="174" spans="2:13" s="399" customFormat="1" ht="12" hidden="1" customHeight="1" thickBot="1" x14ac:dyDescent="0.25">
      <c r="B174" s="262" t="s">
        <v>76</v>
      </c>
      <c r="C174" s="262"/>
      <c r="D174" s="262"/>
      <c r="E174" s="262"/>
      <c r="F174" s="262"/>
      <c r="G174" s="262"/>
      <c r="H174" s="262"/>
      <c r="I174" s="262"/>
      <c r="J174" s="262"/>
      <c r="K174" s="262"/>
      <c r="L174" s="262"/>
      <c r="M174" s="262"/>
    </row>
    <row r="175" spans="2:13" ht="12" hidden="1" customHeight="1" thickBot="1" x14ac:dyDescent="0.25">
      <c r="B175" s="396" t="s">
        <v>52</v>
      </c>
      <c r="C175" s="263">
        <v>5</v>
      </c>
      <c r="D175" s="264">
        <v>10</v>
      </c>
      <c r="E175" s="264">
        <v>15</v>
      </c>
      <c r="F175" s="264">
        <v>20</v>
      </c>
      <c r="G175" s="264">
        <v>30</v>
      </c>
      <c r="H175" s="264">
        <v>40</v>
      </c>
      <c r="I175" s="264">
        <v>50</v>
      </c>
      <c r="J175" s="264">
        <v>60</v>
      </c>
      <c r="K175" s="264">
        <v>90</v>
      </c>
      <c r="L175" s="264">
        <v>120</v>
      </c>
      <c r="M175" s="265">
        <v>180</v>
      </c>
    </row>
    <row r="176" spans="2:13" ht="12" hidden="1" customHeight="1" x14ac:dyDescent="0.2">
      <c r="B176" s="266">
        <v>1</v>
      </c>
      <c r="C176" s="287">
        <f t="shared" ref="C176:M176" ca="1" si="20">$L$32*$L$33*$L$34*C165</f>
        <v>2.3047805081433221</v>
      </c>
      <c r="D176" s="288">
        <f t="shared" ca="1" si="20"/>
        <v>3.077266993548387</v>
      </c>
      <c r="E176" s="288">
        <f t="shared" ca="1" si="20"/>
        <v>3.5422785431309904</v>
      </c>
      <c r="F176" s="288">
        <f t="shared" ca="1" si="20"/>
        <v>3.8385223291139239</v>
      </c>
      <c r="G176" s="288">
        <f t="shared" ca="1" si="20"/>
        <v>4.2378717018633543</v>
      </c>
      <c r="H176" s="288">
        <f t="shared" ca="1" si="20"/>
        <v>4.4685237073170718</v>
      </c>
      <c r="I176" s="288">
        <f t="shared" ca="1" si="20"/>
        <v>4.6341441916167661</v>
      </c>
      <c r="J176" s="288">
        <f t="shared" ca="1" si="20"/>
        <v>4.6824327529411764</v>
      </c>
      <c r="K176" s="288">
        <f t="shared" ca="1" si="20"/>
        <v>4.7646462569832408</v>
      </c>
      <c r="L176" s="288">
        <f t="shared" ca="1" si="20"/>
        <v>4.8389882553191486</v>
      </c>
      <c r="M176" s="289">
        <f t="shared" ca="1" si="20"/>
        <v>4.6921742912621349</v>
      </c>
    </row>
    <row r="177" spans="1:14" ht="12" hidden="1" customHeight="1" x14ac:dyDescent="0.2">
      <c r="B177" s="270">
        <v>0.5</v>
      </c>
      <c r="C177" s="290">
        <f t="shared" ref="C177:M177" ca="1" si="21">$L$32*$L$33*$L$34*C166</f>
        <v>2.819240442996743</v>
      </c>
      <c r="D177" s="291">
        <f t="shared" ca="1" si="21"/>
        <v>3.7497822967741938</v>
      </c>
      <c r="E177" s="291">
        <f t="shared" ca="1" si="21"/>
        <v>4.2991756677316291</v>
      </c>
      <c r="F177" s="291">
        <f t="shared" ca="1" si="21"/>
        <v>4.6781990886075944</v>
      </c>
      <c r="G177" s="291">
        <f t="shared" ca="1" si="21"/>
        <v>5.1796209689441</v>
      </c>
      <c r="H177" s="291">
        <f t="shared" ca="1" si="21"/>
        <v>5.4700893658536582</v>
      </c>
      <c r="I177" s="291">
        <f t="shared" ca="1" si="21"/>
        <v>5.6744622754491019</v>
      </c>
      <c r="J177" s="291">
        <f t="shared" ca="1" si="21"/>
        <v>5.7972976941176464</v>
      </c>
      <c r="K177" s="291">
        <f t="shared" ca="1" si="21"/>
        <v>5.7175755083798885</v>
      </c>
      <c r="L177" s="291">
        <f t="shared" ca="1" si="21"/>
        <v>5.6454862978723401</v>
      </c>
      <c r="M177" s="292">
        <f t="shared" ca="1" si="21"/>
        <v>5.5202050485436898</v>
      </c>
    </row>
    <row r="178" spans="1:14" ht="12" hidden="1" customHeight="1" x14ac:dyDescent="0.2">
      <c r="B178" s="270">
        <v>0.2</v>
      </c>
      <c r="C178" s="290">
        <f t="shared" ref="C178:M178" ca="1" si="22">$L$32*$L$33*$L$34*C167</f>
        <v>3.5497735504885983</v>
      </c>
      <c r="D178" s="291">
        <f t="shared" ca="1" si="22"/>
        <v>4.7483656258064508</v>
      </c>
      <c r="E178" s="291">
        <f t="shared" ca="1" si="22"/>
        <v>5.4496592971246018</v>
      </c>
      <c r="F178" s="291">
        <f t="shared" ca="1" si="22"/>
        <v>5.8777373164556952</v>
      </c>
      <c r="G178" s="291">
        <f t="shared" ca="1" si="22"/>
        <v>6.4745262111801232</v>
      </c>
      <c r="H178" s="291">
        <f t="shared" ca="1" si="22"/>
        <v>6.779829073170732</v>
      </c>
      <c r="I178" s="291">
        <f t="shared" ca="1" si="22"/>
        <v>6.9985034730538924</v>
      </c>
      <c r="J178" s="291">
        <f t="shared" ca="1" si="22"/>
        <v>7.1351356235294121</v>
      </c>
      <c r="K178" s="291">
        <f t="shared" ca="1" si="22"/>
        <v>7.3057909273743036</v>
      </c>
      <c r="L178" s="291">
        <f t="shared" ca="1" si="22"/>
        <v>7.2584823829787233</v>
      </c>
      <c r="M178" s="292">
        <f t="shared" ca="1" si="22"/>
        <v>6.8470751445086702</v>
      </c>
    </row>
    <row r="179" spans="1:14" ht="12" hidden="1" customHeight="1" x14ac:dyDescent="0.2">
      <c r="B179" s="270">
        <v>0.1</v>
      </c>
      <c r="C179" s="290">
        <f t="shared" ref="C179:M179" ca="1" si="23">$L$32*$L$33*$L$34*C168</f>
        <v>4.0230766905537454</v>
      </c>
      <c r="D179" s="291">
        <f t="shared" ca="1" si="23"/>
        <v>5.4412601806451617</v>
      </c>
      <c r="E179" s="291">
        <f t="shared" ca="1" si="23"/>
        <v>6.3276599616613414</v>
      </c>
      <c r="F179" s="291">
        <f t="shared" ca="1" si="23"/>
        <v>6.877352506329113</v>
      </c>
      <c r="G179" s="291">
        <f t="shared" ca="1" si="23"/>
        <v>7.5339941366459628</v>
      </c>
      <c r="H179" s="291">
        <f t="shared" ca="1" si="23"/>
        <v>7.9354817560975608</v>
      </c>
      <c r="I179" s="291">
        <f t="shared" ca="1" si="23"/>
        <v>8.1333959281437114</v>
      </c>
      <c r="J179" s="291">
        <f t="shared" ca="1" si="23"/>
        <v>8.2500005647058838</v>
      </c>
      <c r="K179" s="291">
        <f t="shared" ca="1" si="23"/>
        <v>8.2587201787709503</v>
      </c>
      <c r="L179" s="291">
        <f t="shared" ca="1" si="23"/>
        <v>8.2666049361702107</v>
      </c>
      <c r="M179" s="292">
        <f t="shared" ca="1" si="23"/>
        <v>7.7282870679611646</v>
      </c>
    </row>
    <row r="180" spans="1:14" ht="12" hidden="1" customHeight="1" x14ac:dyDescent="0.2">
      <c r="B180" s="270">
        <v>0.05</v>
      </c>
      <c r="C180" s="290">
        <f t="shared" ref="C180:M180" ca="1" si="24">$L$32*$L$33*$L$34*C169</f>
        <v>4.4655122345276865</v>
      </c>
      <c r="D180" s="291">
        <f t="shared" ca="1" si="24"/>
        <v>6.0730169806451624</v>
      </c>
      <c r="E180" s="291">
        <f t="shared" ca="1" si="24"/>
        <v>7.0542812012779557</v>
      </c>
      <c r="F180" s="291">
        <f t="shared" ca="1" si="24"/>
        <v>7.6770446582278478</v>
      </c>
      <c r="G180" s="291">
        <f t="shared" ca="1" si="24"/>
        <v>8.5346027329192555</v>
      </c>
      <c r="H180" s="291">
        <f t="shared" ca="1" si="24"/>
        <v>8.9370474146341436</v>
      </c>
      <c r="I180" s="291">
        <f t="shared" ca="1" si="24"/>
        <v>9.0791396407185623</v>
      </c>
      <c r="J180" s="291">
        <f t="shared" ca="1" si="24"/>
        <v>9.1418925176470562</v>
      </c>
      <c r="K180" s="291">
        <f t="shared" ca="1" si="24"/>
        <v>9.0528278882681565</v>
      </c>
      <c r="L180" s="291">
        <f t="shared" ca="1" si="24"/>
        <v>9.073102978723405</v>
      </c>
      <c r="M180" s="292">
        <f t="shared" ca="1" si="24"/>
        <v>8.5563178252427168</v>
      </c>
    </row>
    <row r="181" spans="1:14" ht="12" hidden="1" customHeight="1" x14ac:dyDescent="0.2">
      <c r="B181" s="270">
        <v>3.3000000000000002E-2</v>
      </c>
      <c r="C181" s="290">
        <f t="shared" ref="C181:M181" ca="1" si="25">$L$32*$L$33*$L$34*C170</f>
        <v>4.6712962084690544</v>
      </c>
      <c r="D181" s="291">
        <f t="shared" ca="1" si="25"/>
        <v>6.4398435096774191</v>
      </c>
      <c r="E181" s="291">
        <f t="shared" ca="1" si="25"/>
        <v>7.5689712460063889</v>
      </c>
      <c r="F181" s="291">
        <f t="shared" ca="1" si="25"/>
        <v>8.1968445569620254</v>
      </c>
      <c r="G181" s="291">
        <f t="shared" ca="1" si="25"/>
        <v>9.1231960248447184</v>
      </c>
      <c r="H181" s="291">
        <f t="shared" ca="1" si="25"/>
        <v>9.7074825365853652</v>
      </c>
      <c r="I181" s="291">
        <f t="shared" ca="1" si="25"/>
        <v>9.8357346107784434</v>
      </c>
      <c r="J181" s="291">
        <f t="shared" ca="1" si="25"/>
        <v>10.033784470588238</v>
      </c>
      <c r="K181" s="291">
        <f t="shared" ca="1" si="25"/>
        <v>10.164578681564247</v>
      </c>
      <c r="L181" s="291">
        <f t="shared" ca="1" si="25"/>
        <v>10.081225531914892</v>
      </c>
      <c r="M181" s="292">
        <f t="shared" ca="1" si="25"/>
        <v>9.3843485825242698</v>
      </c>
    </row>
    <row r="182" spans="1:14" ht="12" hidden="1" customHeight="1" x14ac:dyDescent="0.2">
      <c r="B182" s="270">
        <v>0.02</v>
      </c>
      <c r="C182" s="290">
        <f t="shared" ref="C182:M182" ca="1" si="26">$L$32*$L$33*$L$34*C171</f>
        <v>4.7741881954397378</v>
      </c>
      <c r="D182" s="291">
        <f t="shared" ca="1" si="26"/>
        <v>6.6843945290322573</v>
      </c>
      <c r="E182" s="291">
        <f t="shared" ca="1" si="26"/>
        <v>7.8111783258785952</v>
      </c>
      <c r="F182" s="291">
        <f t="shared" ca="1" si="26"/>
        <v>8.4767368101265816</v>
      </c>
      <c r="G182" s="291">
        <f t="shared" ca="1" si="26"/>
        <v>9.4174926708074551</v>
      </c>
      <c r="H182" s="291">
        <f t="shared" ca="1" si="26"/>
        <v>10.092700097560977</v>
      </c>
      <c r="I182" s="291">
        <f t="shared" ca="1" si="26"/>
        <v>10.403180838323351</v>
      </c>
      <c r="J182" s="291">
        <f t="shared" ca="1" si="26"/>
        <v>10.591216941176468</v>
      </c>
      <c r="K182" s="291">
        <f t="shared" ca="1" si="26"/>
        <v>10.641043307262569</v>
      </c>
      <c r="L182" s="291">
        <f t="shared" ca="1" si="26"/>
        <v>10.686099063829785</v>
      </c>
      <c r="M182" s="292">
        <f t="shared" ca="1" si="26"/>
        <v>10.212379339805825</v>
      </c>
    </row>
    <row r="183" spans="1:14" ht="12" hidden="1" customHeight="1" thickBot="1" x14ac:dyDescent="0.25">
      <c r="B183" s="274">
        <v>0.01</v>
      </c>
      <c r="C183" s="293">
        <f t="shared" ref="C183:M183" ca="1" si="27">$L$32*$L$33*$L$34*C172</f>
        <v>4.9182369771986965</v>
      </c>
      <c r="D183" s="294">
        <f t="shared" ca="1" si="27"/>
        <v>6.9085662967741923</v>
      </c>
      <c r="E183" s="294">
        <f t="shared" ca="1" si="27"/>
        <v>8.1442130607028744</v>
      </c>
      <c r="F183" s="294">
        <f t="shared" ca="1" si="27"/>
        <v>8.8765828860759477</v>
      </c>
      <c r="G183" s="294">
        <f t="shared" ca="1" si="27"/>
        <v>10.00608596273292</v>
      </c>
      <c r="H183" s="294">
        <f t="shared" ca="1" si="27"/>
        <v>10.786091707317071</v>
      </c>
      <c r="I183" s="294">
        <f t="shared" ca="1" si="27"/>
        <v>11.159775808383232</v>
      </c>
      <c r="J183" s="294">
        <f t="shared" ca="1" si="27"/>
        <v>11.483108894117645</v>
      </c>
      <c r="K183" s="294">
        <f t="shared" ca="1" si="27"/>
        <v>11.435151016759777</v>
      </c>
      <c r="L183" s="294">
        <f t="shared" ca="1" si="27"/>
        <v>11.29097259574468</v>
      </c>
      <c r="M183" s="295">
        <f t="shared" ca="1" si="27"/>
        <v>10.764399844660193</v>
      </c>
    </row>
    <row r="184" spans="1:14" ht="13.9" customHeight="1" x14ac:dyDescent="0.2">
      <c r="A184" s="248"/>
      <c r="B184" s="245"/>
      <c r="C184" s="296"/>
      <c r="D184" s="296"/>
      <c r="E184" s="296"/>
      <c r="F184" s="296"/>
      <c r="G184" s="296"/>
      <c r="H184" s="296"/>
      <c r="I184" s="296"/>
      <c r="J184" s="296"/>
      <c r="K184" s="296"/>
      <c r="L184" s="296"/>
      <c r="M184" s="296"/>
      <c r="N184" s="248"/>
    </row>
    <row r="185" spans="1:14" ht="13.9" customHeight="1" x14ac:dyDescent="0.2">
      <c r="A185" s="248"/>
      <c r="B185" s="245"/>
      <c r="C185" s="296"/>
      <c r="D185" s="296"/>
      <c r="E185" s="296"/>
      <c r="F185" s="296"/>
      <c r="G185" s="296"/>
      <c r="H185" s="296"/>
      <c r="I185" s="296"/>
      <c r="J185" s="296"/>
      <c r="K185" s="296"/>
      <c r="L185" s="296"/>
      <c r="M185" s="296"/>
      <c r="N185" s="248"/>
    </row>
    <row r="186" spans="1:14" ht="13.9" customHeight="1" x14ac:dyDescent="0.2">
      <c r="B186" s="248"/>
      <c r="C186" s="248"/>
      <c r="D186" s="297"/>
      <c r="E186" s="248"/>
      <c r="F186" s="248"/>
      <c r="G186" s="248"/>
      <c r="H186" s="248"/>
      <c r="I186" s="248"/>
      <c r="J186" s="248"/>
      <c r="K186" s="248"/>
      <c r="L186" s="248"/>
      <c r="M186" s="248"/>
    </row>
    <row r="194" spans="1:15" ht="13.9" customHeight="1" x14ac:dyDescent="0.2">
      <c r="N194" s="421"/>
    </row>
    <row r="195" spans="1:15" ht="13.9" customHeight="1" x14ac:dyDescent="0.2">
      <c r="N195" s="420"/>
    </row>
    <row r="196" spans="1:15" ht="13.9" customHeight="1" x14ac:dyDescent="0.2">
      <c r="N196" s="421"/>
    </row>
    <row r="197" spans="1:15" ht="13.9" customHeight="1" x14ac:dyDescent="0.2">
      <c r="K197" s="615">
        <f>L33</f>
        <v>2</v>
      </c>
      <c r="N197" s="419"/>
    </row>
    <row r="198" spans="1:15" ht="13.9" customHeight="1" x14ac:dyDescent="0.2">
      <c r="N198" s="382"/>
    </row>
    <row r="199" spans="1:15" ht="13.9" customHeight="1" x14ac:dyDescent="0.2">
      <c r="N199" s="419"/>
    </row>
    <row r="200" spans="1:15" ht="13.9" customHeight="1" x14ac:dyDescent="0.2">
      <c r="N200" s="419"/>
    </row>
    <row r="201" spans="1:15" ht="13.9" customHeight="1" x14ac:dyDescent="0.2">
      <c r="N201" s="419"/>
    </row>
    <row r="202" spans="1:15" ht="13.9" customHeight="1" x14ac:dyDescent="0.2">
      <c r="N202" s="419"/>
    </row>
    <row r="203" spans="1:15" ht="13.9" customHeight="1" x14ac:dyDescent="0.2">
      <c r="N203" s="419"/>
    </row>
    <row r="204" spans="1:15" ht="13.9" customHeight="1" x14ac:dyDescent="0.2">
      <c r="N204" s="419"/>
    </row>
    <row r="205" spans="1:15" s="248" customFormat="1" ht="13.9" customHeight="1" x14ac:dyDescent="0.2">
      <c r="A205" s="243"/>
      <c r="B205" s="243"/>
      <c r="C205" s="243"/>
      <c r="D205" s="243"/>
      <c r="E205" s="243"/>
      <c r="F205" s="243"/>
      <c r="G205" s="243"/>
      <c r="H205" s="243"/>
      <c r="I205" s="243"/>
      <c r="J205" s="243"/>
      <c r="K205" s="425"/>
      <c r="L205" s="243"/>
      <c r="M205" s="243"/>
      <c r="N205" s="243"/>
      <c r="O205" s="243"/>
    </row>
    <row r="206" spans="1:15" s="248" customFormat="1" ht="13.9" customHeight="1" x14ac:dyDescent="0.2">
      <c r="A206" s="243"/>
      <c r="B206" s="441"/>
      <c r="C206" s="441"/>
      <c r="D206" s="441"/>
      <c r="E206" s="441"/>
      <c r="F206" s="441"/>
      <c r="G206" s="441"/>
      <c r="H206" s="618">
        <f ca="1">K115</f>
        <v>2.4</v>
      </c>
      <c r="I206" s="619" t="s">
        <v>203</v>
      </c>
      <c r="J206" s="243"/>
      <c r="K206" s="485"/>
      <c r="L206" s="486"/>
      <c r="M206" s="243"/>
      <c r="N206" s="243"/>
      <c r="O206" s="243"/>
    </row>
    <row r="207" spans="1:15" ht="13.9" customHeight="1" x14ac:dyDescent="0.2">
      <c r="B207" s="441"/>
      <c r="C207" s="441"/>
      <c r="D207" s="441"/>
      <c r="E207" s="441"/>
      <c r="F207" s="441"/>
      <c r="G207" s="441"/>
    </row>
    <row r="208" spans="1:15" ht="13.9" customHeight="1" x14ac:dyDescent="0.2">
      <c r="B208" s="441"/>
      <c r="C208" s="441"/>
      <c r="D208" s="441"/>
      <c r="E208" s="441"/>
      <c r="F208" s="441"/>
      <c r="G208" s="441"/>
      <c r="N208" s="424"/>
    </row>
    <row r="209" spans="2:22" ht="13.9" customHeight="1" x14ac:dyDescent="0.2">
      <c r="B209" s="441"/>
      <c r="C209" s="441"/>
      <c r="D209" s="441"/>
      <c r="E209" s="441"/>
      <c r="F209" s="441"/>
      <c r="G209" s="441"/>
      <c r="K209" s="725">
        <f>K116</f>
        <v>2.4</v>
      </c>
    </row>
    <row r="210" spans="2:22" ht="13.9" customHeight="1" x14ac:dyDescent="0.2">
      <c r="B210" s="441"/>
      <c r="C210" s="441"/>
      <c r="D210" s="441"/>
      <c r="E210" s="441"/>
      <c r="F210" s="441"/>
      <c r="G210" s="441"/>
      <c r="K210" s="726"/>
    </row>
    <row r="211" spans="2:22" ht="13.9" customHeight="1" x14ac:dyDescent="0.2">
      <c r="B211" s="441"/>
      <c r="C211" s="441"/>
      <c r="D211" s="441"/>
      <c r="E211" s="441"/>
      <c r="F211" s="441"/>
      <c r="G211" s="441"/>
      <c r="H211" s="381"/>
      <c r="P211" s="609"/>
      <c r="Q211"/>
      <c r="R211"/>
      <c r="S211"/>
      <c r="T211"/>
      <c r="U211"/>
    </row>
    <row r="212" spans="2:22" ht="13.9" customHeight="1" x14ac:dyDescent="0.2">
      <c r="B212" s="441"/>
      <c r="C212" s="441"/>
      <c r="D212" s="441"/>
      <c r="E212" s="441"/>
      <c r="F212" s="441"/>
      <c r="G212" s="441"/>
      <c r="H212" s="381"/>
      <c r="Q212" s="610"/>
      <c r="R212" s="610"/>
      <c r="S212"/>
      <c r="T212"/>
      <c r="U212"/>
      <c r="V212"/>
    </row>
    <row r="213" spans="2:22" ht="13.9" customHeight="1" x14ac:dyDescent="0.2">
      <c r="B213" s="441"/>
      <c r="C213" s="441"/>
      <c r="D213" s="441"/>
      <c r="E213" s="441"/>
      <c r="F213" s="441"/>
      <c r="G213" s="441"/>
      <c r="H213" s="381"/>
      <c r="Q213" s="610"/>
      <c r="R213"/>
      <c r="S213"/>
      <c r="T213"/>
      <c r="U213" s="610"/>
      <c r="V213"/>
    </row>
    <row r="214" spans="2:22" ht="13.9" customHeight="1" x14ac:dyDescent="0.2">
      <c r="B214" s="441"/>
      <c r="C214" s="441"/>
      <c r="D214" s="441"/>
      <c r="E214" s="441"/>
      <c r="F214" s="441"/>
      <c r="G214" s="441"/>
      <c r="H214" s="381"/>
      <c r="Q214" s="610"/>
      <c r="R214"/>
      <c r="S214"/>
      <c r="T214" s="610"/>
      <c r="U214"/>
      <c r="V214"/>
    </row>
    <row r="215" spans="2:22" ht="13.9" customHeight="1" x14ac:dyDescent="0.2">
      <c r="B215" s="441"/>
      <c r="C215" s="441"/>
      <c r="D215" s="441"/>
      <c r="E215" s="441"/>
      <c r="F215" s="441"/>
      <c r="G215" s="441"/>
      <c r="H215" s="381"/>
      <c r="Q215" s="610"/>
      <c r="R215"/>
      <c r="S215"/>
      <c r="T215"/>
      <c r="U215"/>
      <c r="V215" s="610"/>
    </row>
    <row r="216" spans="2:22" ht="13.9" customHeight="1" x14ac:dyDescent="0.2">
      <c r="B216" s="441"/>
      <c r="C216" s="441"/>
      <c r="D216" s="441"/>
      <c r="E216" s="441"/>
      <c r="F216" s="441"/>
      <c r="G216" s="441"/>
      <c r="H216" s="381"/>
      <c r="Q216" s="610"/>
      <c r="R216"/>
      <c r="S216"/>
      <c r="T216" s="610"/>
      <c r="U216"/>
      <c r="V216"/>
    </row>
    <row r="217" spans="2:22" ht="13.9" customHeight="1" x14ac:dyDescent="0.2">
      <c r="B217" s="722" t="s">
        <v>443</v>
      </c>
      <c r="C217" s="722"/>
      <c r="D217" s="722"/>
      <c r="E217" s="722"/>
      <c r="F217" s="722"/>
      <c r="G217" s="722"/>
      <c r="H217" s="722"/>
      <c r="I217" s="722"/>
      <c r="J217" s="722"/>
      <c r="K217" s="722"/>
      <c r="L217" s="722"/>
      <c r="M217" s="722"/>
      <c r="N217" s="722"/>
    </row>
    <row r="218" spans="2:22" ht="13.9" customHeight="1" x14ac:dyDescent="0.2">
      <c r="B218" s="614"/>
      <c r="C218" s="614"/>
      <c r="D218" s="614"/>
      <c r="E218" s="614"/>
      <c r="F218" s="614"/>
      <c r="G218" s="614"/>
      <c r="H218" s="614"/>
      <c r="I218" s="614"/>
      <c r="J218" s="614"/>
      <c r="K218" s="614"/>
      <c r="L218" s="614"/>
      <c r="M218" s="614"/>
      <c r="N218" s="614"/>
    </row>
    <row r="219" spans="2:22" ht="13.9" customHeight="1" thickBot="1" x14ac:dyDescent="0.25">
      <c r="B219" s="414" t="s">
        <v>506</v>
      </c>
      <c r="C219" s="617"/>
      <c r="D219" s="727" t="s">
        <v>507</v>
      </c>
      <c r="E219" s="728"/>
      <c r="F219" s="728"/>
      <c r="G219" s="728"/>
      <c r="H219" s="728"/>
      <c r="I219" s="728"/>
      <c r="J219" s="728"/>
      <c r="K219" s="728"/>
      <c r="L219" s="728"/>
      <c r="M219" s="728"/>
      <c r="N219" s="616"/>
    </row>
    <row r="220" spans="2:22" s="612" customFormat="1" ht="13.9" customHeight="1" thickBot="1" x14ac:dyDescent="0.25">
      <c r="B220" s="611"/>
      <c r="C220" s="638" t="s">
        <v>503</v>
      </c>
      <c r="D220" s="639"/>
      <c r="E220" s="639"/>
      <c r="F220" s="639"/>
      <c r="G220" s="640"/>
      <c r="I220" s="638" t="s">
        <v>505</v>
      </c>
      <c r="J220" s="639"/>
      <c r="K220" s="639"/>
      <c r="L220" s="639"/>
      <c r="M220" s="640"/>
    </row>
    <row r="221" spans="2:22" s="612" customFormat="1" ht="9.9499999999999993" customHeight="1" thickBot="1" x14ac:dyDescent="0.25">
      <c r="B221" s="611"/>
      <c r="C221" s="641" t="s">
        <v>208</v>
      </c>
      <c r="D221" s="729" t="s">
        <v>491</v>
      </c>
      <c r="E221" s="730"/>
      <c r="F221" s="636" t="s">
        <v>490</v>
      </c>
      <c r="G221" s="637"/>
      <c r="I221" s="641" t="s">
        <v>208</v>
      </c>
      <c r="J221" s="643" t="s">
        <v>491</v>
      </c>
      <c r="K221" s="644"/>
      <c r="L221" s="643" t="s">
        <v>490</v>
      </c>
      <c r="M221" s="644"/>
    </row>
    <row r="222" spans="2:22" s="612" customFormat="1" ht="9.9499999999999993" customHeight="1" thickBot="1" x14ac:dyDescent="0.25">
      <c r="B222" s="611"/>
      <c r="C222" s="642"/>
      <c r="D222" s="605" t="s">
        <v>492</v>
      </c>
      <c r="E222" s="606" t="s">
        <v>493</v>
      </c>
      <c r="F222" s="605" t="s">
        <v>492</v>
      </c>
      <c r="G222" s="606" t="s">
        <v>493</v>
      </c>
      <c r="I222" s="642"/>
      <c r="J222" s="607" t="s">
        <v>492</v>
      </c>
      <c r="K222" s="599" t="s">
        <v>493</v>
      </c>
      <c r="L222" s="607" t="s">
        <v>492</v>
      </c>
      <c r="M222" s="599" t="s">
        <v>493</v>
      </c>
    </row>
    <row r="223" spans="2:22" s="612" customFormat="1" ht="9.9499999999999993" customHeight="1" x14ac:dyDescent="0.2">
      <c r="B223" s="611"/>
      <c r="C223" s="602">
        <v>1</v>
      </c>
      <c r="D223" s="597" t="s">
        <v>498</v>
      </c>
      <c r="E223" s="598" t="s">
        <v>496</v>
      </c>
      <c r="F223" s="597" t="s">
        <v>498</v>
      </c>
      <c r="G223" s="598" t="s">
        <v>496</v>
      </c>
      <c r="I223" s="602">
        <v>1</v>
      </c>
      <c r="J223" s="597" t="s">
        <v>499</v>
      </c>
      <c r="K223" s="598" t="s">
        <v>496</v>
      </c>
      <c r="L223" s="597" t="s">
        <v>499</v>
      </c>
      <c r="M223" s="598" t="s">
        <v>496</v>
      </c>
    </row>
    <row r="224" spans="2:22" s="612" customFormat="1" ht="9.9499999999999993" customHeight="1" x14ac:dyDescent="0.2">
      <c r="B224" s="611"/>
      <c r="C224" s="603">
        <v>2</v>
      </c>
      <c r="D224" s="593" t="s">
        <v>501</v>
      </c>
      <c r="E224" s="594" t="s">
        <v>496</v>
      </c>
      <c r="F224" s="593" t="s">
        <v>501</v>
      </c>
      <c r="G224" s="594" t="s">
        <v>496</v>
      </c>
      <c r="I224" s="603">
        <v>2</v>
      </c>
      <c r="J224" s="593" t="s">
        <v>500</v>
      </c>
      <c r="K224" s="594" t="s">
        <v>496</v>
      </c>
      <c r="L224" s="593" t="s">
        <v>500</v>
      </c>
      <c r="M224" s="594" t="s">
        <v>496</v>
      </c>
    </row>
    <row r="225" spans="3:13" s="612" customFormat="1" ht="9.9499999999999993" customHeight="1" x14ac:dyDescent="0.2">
      <c r="C225" s="603">
        <v>3</v>
      </c>
      <c r="D225" s="593" t="s">
        <v>500</v>
      </c>
      <c r="E225" s="594" t="s">
        <v>496</v>
      </c>
      <c r="F225" s="593" t="s">
        <v>500</v>
      </c>
      <c r="G225" s="594" t="s">
        <v>496</v>
      </c>
      <c r="I225" s="603">
        <v>3</v>
      </c>
      <c r="J225" s="593" t="s">
        <v>494</v>
      </c>
      <c r="K225" s="594" t="s">
        <v>496</v>
      </c>
      <c r="L225" s="593" t="s">
        <v>494</v>
      </c>
      <c r="M225" s="594" t="s">
        <v>496</v>
      </c>
    </row>
    <row r="226" spans="3:13" s="612" customFormat="1" ht="9.9499999999999993" customHeight="1" x14ac:dyDescent="0.2">
      <c r="C226" s="608">
        <v>4</v>
      </c>
      <c r="D226" s="600" t="s">
        <v>502</v>
      </c>
      <c r="E226" s="601" t="s">
        <v>496</v>
      </c>
      <c r="F226" s="600" t="s">
        <v>502</v>
      </c>
      <c r="G226" s="601" t="s">
        <v>496</v>
      </c>
      <c r="I226" s="608">
        <v>4</v>
      </c>
      <c r="J226" s="600" t="s">
        <v>495</v>
      </c>
      <c r="K226" s="601" t="s">
        <v>496</v>
      </c>
      <c r="L226" s="600" t="s">
        <v>495</v>
      </c>
      <c r="M226" s="601" t="s">
        <v>496</v>
      </c>
    </row>
    <row r="227" spans="3:13" s="612" customFormat="1" ht="9.9499999999999993" customHeight="1" thickBot="1" x14ac:dyDescent="0.25">
      <c r="C227" s="604">
        <v>5</v>
      </c>
      <c r="D227" s="595" t="s">
        <v>497</v>
      </c>
      <c r="E227" s="596" t="s">
        <v>496</v>
      </c>
      <c r="F227" s="595" t="s">
        <v>497</v>
      </c>
      <c r="G227" s="596" t="s">
        <v>496</v>
      </c>
      <c r="H227" s="613"/>
      <c r="I227" s="604">
        <v>5</v>
      </c>
      <c r="J227" s="595" t="s">
        <v>504</v>
      </c>
      <c r="K227" s="596" t="s">
        <v>496</v>
      </c>
      <c r="L227" s="595" t="s">
        <v>504</v>
      </c>
      <c r="M227" s="596" t="s">
        <v>496</v>
      </c>
    </row>
    <row r="238" spans="3:13" ht="13.5" customHeight="1" x14ac:dyDescent="0.2"/>
    <row r="239" spans="3:13" ht="13.5" customHeight="1" x14ac:dyDescent="0.2"/>
    <row r="240" spans="3:13" ht="13.5" customHeight="1" x14ac:dyDescent="0.2"/>
    <row r="241" spans="1:15" ht="13.5" customHeight="1" x14ac:dyDescent="0.2"/>
    <row r="242" spans="1:15" ht="24" customHeight="1" x14ac:dyDescent="0.35">
      <c r="A242" s="721" t="s">
        <v>516</v>
      </c>
      <c r="B242" s="721"/>
      <c r="C242" s="721"/>
      <c r="D242" s="721"/>
      <c r="E242" s="721"/>
      <c r="F242" s="721"/>
      <c r="G242" s="721"/>
      <c r="H242" s="721"/>
      <c r="I242" s="721"/>
      <c r="J242" s="721"/>
      <c r="K242" s="721"/>
      <c r="L242" s="721"/>
      <c r="M242" s="721"/>
      <c r="N242" s="445">
        <f>L34*100</f>
        <v>60</v>
      </c>
      <c r="O242" s="410"/>
    </row>
    <row r="243" spans="1:15" ht="13.5" customHeight="1" x14ac:dyDescent="0.2">
      <c r="A243" s="625"/>
      <c r="B243" s="716" t="s">
        <v>420</v>
      </c>
      <c r="C243" s="716"/>
      <c r="D243" s="716"/>
      <c r="E243" s="716"/>
      <c r="F243" s="716"/>
      <c r="G243" s="716"/>
      <c r="H243" s="716"/>
      <c r="I243" s="716"/>
      <c r="J243" s="716"/>
      <c r="K243" s="716"/>
      <c r="L243" s="716"/>
      <c r="M243" s="716"/>
      <c r="N243" s="716"/>
      <c r="O243" s="433"/>
    </row>
    <row r="244" spans="1:15" ht="13.5" customHeight="1" x14ac:dyDescent="0.2">
      <c r="A244" s="625"/>
      <c r="B244" s="625"/>
      <c r="C244" s="715" t="s">
        <v>409</v>
      </c>
      <c r="D244" s="715"/>
      <c r="E244" s="715"/>
      <c r="F244" s="715"/>
      <c r="G244" s="715"/>
      <c r="H244" s="715"/>
      <c r="I244" s="715"/>
      <c r="J244" s="715"/>
      <c r="K244" s="715"/>
      <c r="L244" s="715"/>
      <c r="M244" s="715"/>
      <c r="N244" s="625"/>
    </row>
    <row r="245" spans="1:15" ht="13.5" customHeight="1" x14ac:dyDescent="0.2">
      <c r="A245" s="625"/>
      <c r="B245" s="625"/>
      <c r="C245" s="625"/>
      <c r="D245" s="625"/>
      <c r="E245" s="625"/>
      <c r="F245" s="625"/>
      <c r="G245" s="625"/>
      <c r="H245" s="625"/>
      <c r="I245" s="625"/>
      <c r="J245" s="625"/>
      <c r="K245" s="625"/>
      <c r="L245" s="625"/>
      <c r="M245" s="625"/>
      <c r="N245" s="625"/>
    </row>
    <row r="246" spans="1:15" ht="13.5" customHeight="1" x14ac:dyDescent="0.2">
      <c r="A246" s="625"/>
      <c r="B246" s="625"/>
      <c r="C246" s="625"/>
      <c r="D246" s="625"/>
      <c r="E246" s="625"/>
      <c r="F246" s="625"/>
      <c r="G246" s="625"/>
      <c r="H246" s="625"/>
      <c r="I246" s="625"/>
      <c r="J246" s="625"/>
      <c r="K246" s="625"/>
      <c r="L246" s="625"/>
      <c r="M246" s="625"/>
      <c r="N246" s="625"/>
    </row>
    <row r="247" spans="1:15" ht="13.5" customHeight="1" x14ac:dyDescent="0.2">
      <c r="A247" s="625"/>
      <c r="B247" s="625"/>
      <c r="C247" s="625"/>
      <c r="D247" s="625"/>
      <c r="E247" s="625"/>
      <c r="F247" s="625"/>
      <c r="G247" s="625"/>
      <c r="H247" s="625"/>
      <c r="I247" s="625"/>
      <c r="J247" s="625"/>
      <c r="K247" s="625"/>
      <c r="L247" s="625"/>
      <c r="M247" s="625"/>
      <c r="N247" s="625"/>
    </row>
    <row r="248" spans="1:15" ht="13.5" customHeight="1" x14ac:dyDescent="0.2">
      <c r="A248" s="625"/>
      <c r="B248" s="625"/>
      <c r="C248" s="625"/>
      <c r="D248" s="625"/>
      <c r="E248" s="625"/>
      <c r="F248" s="625"/>
      <c r="G248" s="625"/>
      <c r="H248" s="625"/>
      <c r="I248" s="625"/>
      <c r="J248" s="625"/>
      <c r="K248" s="625"/>
      <c r="L248" s="625"/>
      <c r="M248" s="625"/>
      <c r="N248" s="625"/>
    </row>
    <row r="249" spans="1:15" ht="19.7" customHeight="1" x14ac:dyDescent="0.3">
      <c r="A249" s="625"/>
      <c r="B249" s="625"/>
      <c r="C249" s="625"/>
      <c r="D249" s="625"/>
      <c r="E249" s="625"/>
      <c r="F249" s="625"/>
      <c r="G249" s="625"/>
      <c r="H249" s="384" t="s">
        <v>332</v>
      </c>
      <c r="I249" s="384"/>
      <c r="J249" s="384"/>
      <c r="K249" s="384"/>
      <c r="L249" s="626"/>
      <c r="M249" s="625"/>
      <c r="N249" s="625"/>
    </row>
    <row r="250" spans="1:15" ht="19.7" customHeight="1" x14ac:dyDescent="0.25">
      <c r="A250" s="625"/>
      <c r="B250" s="625"/>
      <c r="C250" s="625"/>
      <c r="D250" s="625"/>
      <c r="E250" s="625"/>
      <c r="F250" s="625"/>
      <c r="G250" s="625"/>
      <c r="H250" s="383" t="str">
        <f>D11</f>
        <v>SO 05 Základná škola Ostredky</v>
      </c>
      <c r="I250" s="383"/>
      <c r="J250" s="383"/>
      <c r="K250" s="383"/>
      <c r="L250" s="625"/>
      <c r="M250" s="625"/>
      <c r="N250" s="625"/>
    </row>
    <row r="251" spans="1:15" ht="19.7" customHeight="1" x14ac:dyDescent="0.25">
      <c r="A251" s="625"/>
      <c r="B251" s="625"/>
      <c r="C251" s="625"/>
      <c r="D251" s="625"/>
      <c r="E251" s="625"/>
      <c r="F251" s="625"/>
      <c r="G251" s="625"/>
      <c r="H251" s="383" t="str">
        <f>D12</f>
        <v>parc. č. 1216, k.u. Ružinov</v>
      </c>
      <c r="I251" s="383"/>
      <c r="J251" s="383"/>
      <c r="K251" s="383"/>
      <c r="L251" s="625"/>
      <c r="M251" s="625"/>
      <c r="N251" s="625"/>
    </row>
    <row r="252" spans="1:15" ht="13.5" customHeight="1" x14ac:dyDescent="0.2">
      <c r="A252" s="625"/>
      <c r="B252" s="625"/>
      <c r="C252" s="625"/>
      <c r="D252" s="625"/>
      <c r="E252" s="627" t="s">
        <v>444</v>
      </c>
      <c r="F252" s="628" t="str">
        <f>D23</f>
        <v>VO - 1</v>
      </c>
      <c r="G252" s="628"/>
      <c r="H252" s="626"/>
      <c r="I252" s="626"/>
      <c r="J252" s="626"/>
      <c r="K252" s="626"/>
      <c r="L252" s="625"/>
      <c r="M252" s="625"/>
      <c r="N252" s="625"/>
    </row>
    <row r="253" spans="1:15" ht="13.5" customHeight="1" x14ac:dyDescent="0.2">
      <c r="A253" s="625"/>
      <c r="B253" s="625"/>
      <c r="C253" s="625"/>
      <c r="D253" s="625"/>
      <c r="E253" s="625"/>
      <c r="F253" s="625"/>
      <c r="G253" s="625"/>
      <c r="H253" s="625"/>
      <c r="I253" s="625"/>
      <c r="J253" s="625"/>
      <c r="K253" s="625"/>
      <c r="L253" s="625"/>
      <c r="M253" s="625"/>
      <c r="N253" s="625"/>
    </row>
    <row r="254" spans="1:15" ht="19.7" customHeight="1" x14ac:dyDescent="0.3">
      <c r="A254" s="625"/>
      <c r="B254" s="625"/>
      <c r="C254" s="625"/>
      <c r="D254" s="625"/>
      <c r="E254" s="625"/>
      <c r="F254" s="625"/>
      <c r="G254" s="625"/>
      <c r="H254" s="384" t="s">
        <v>333</v>
      </c>
      <c r="I254" s="384"/>
      <c r="J254" s="384"/>
      <c r="K254" s="384"/>
      <c r="L254" s="625"/>
      <c r="M254" s="625"/>
      <c r="N254" s="625"/>
    </row>
    <row r="255" spans="1:15" ht="19.7" customHeight="1" x14ac:dyDescent="0.25">
      <c r="A255" s="625"/>
      <c r="B255" s="625"/>
      <c r="C255" s="625"/>
      <c r="D255" s="625"/>
      <c r="E255" s="625"/>
      <c r="F255" s="625"/>
      <c r="G255" s="625"/>
      <c r="H255" s="385" t="str">
        <f>D15</f>
        <v>Ing. Peter Sivoň, PhD. - psst s.r.o.</v>
      </c>
      <c r="I255" s="385"/>
      <c r="J255" s="385"/>
      <c r="K255" s="385"/>
      <c r="L255" s="625"/>
      <c r="M255" s="625"/>
      <c r="N255" s="625"/>
    </row>
    <row r="256" spans="1:15" ht="19.7" customHeight="1" x14ac:dyDescent="0.25">
      <c r="A256" s="625"/>
      <c r="B256" s="625"/>
      <c r="C256" s="625"/>
      <c r="D256" s="625"/>
      <c r="E256" s="625"/>
      <c r="F256" s="625"/>
      <c r="G256" s="625"/>
      <c r="H256" s="387" t="str">
        <f>D16</f>
        <v>0948 514 497</v>
      </c>
      <c r="I256" s="387"/>
      <c r="J256" s="387"/>
      <c r="K256" s="387"/>
      <c r="L256" s="625"/>
      <c r="M256" s="625"/>
      <c r="N256" s="625"/>
    </row>
    <row r="257" spans="1:14" ht="19.7" customHeight="1" x14ac:dyDescent="0.25">
      <c r="A257" s="625"/>
      <c r="B257" s="625"/>
      <c r="C257" s="625"/>
      <c r="D257" s="625"/>
      <c r="E257" s="625"/>
      <c r="F257" s="625"/>
      <c r="G257" s="625"/>
      <c r="H257" s="385" t="str">
        <f>D17</f>
        <v>atelierpsst@gmail.com</v>
      </c>
      <c r="I257" s="385"/>
      <c r="J257" s="385"/>
      <c r="K257" s="385"/>
      <c r="L257" s="625"/>
      <c r="M257" s="625"/>
      <c r="N257" s="625"/>
    </row>
    <row r="258" spans="1:14" ht="13.5" customHeight="1" x14ac:dyDescent="0.2">
      <c r="A258" s="625"/>
      <c r="B258" s="625"/>
      <c r="C258" s="625"/>
      <c r="D258" s="625"/>
      <c r="E258" s="625"/>
      <c r="F258" s="625"/>
      <c r="G258" s="625"/>
      <c r="H258" s="629"/>
      <c r="I258" s="626"/>
      <c r="J258" s="626"/>
      <c r="K258" s="626"/>
      <c r="L258" s="625"/>
      <c r="M258" s="625"/>
      <c r="N258" s="625"/>
    </row>
    <row r="259" spans="1:14" ht="13.5" customHeight="1" x14ac:dyDescent="0.2">
      <c r="A259" s="625"/>
      <c r="B259" s="625"/>
      <c r="C259" s="625"/>
      <c r="D259" s="625"/>
      <c r="E259" s="625"/>
      <c r="F259" s="625"/>
      <c r="G259" s="625"/>
      <c r="H259" s="625"/>
      <c r="I259" s="625"/>
      <c r="J259" s="625"/>
      <c r="K259" s="625"/>
      <c r="L259" s="625"/>
      <c r="M259" s="625"/>
      <c r="N259" s="625"/>
    </row>
    <row r="260" spans="1:14" ht="19.7" customHeight="1" x14ac:dyDescent="0.3">
      <c r="A260" s="625"/>
      <c r="B260" s="625"/>
      <c r="C260" s="625"/>
      <c r="D260" s="625"/>
      <c r="E260" s="625"/>
      <c r="F260" s="625"/>
      <c r="G260" s="625"/>
      <c r="H260" s="384" t="s">
        <v>334</v>
      </c>
      <c r="I260" s="384"/>
      <c r="J260" s="384"/>
      <c r="K260" s="384"/>
      <c r="L260" s="625"/>
      <c r="M260" s="625"/>
      <c r="N260" s="625"/>
    </row>
    <row r="261" spans="1:14" ht="19.7" customHeight="1" x14ac:dyDescent="0.25">
      <c r="A261" s="625"/>
      <c r="B261" s="625"/>
      <c r="C261" s="625"/>
      <c r="D261" s="625"/>
      <c r="E261" s="625"/>
      <c r="F261" s="625"/>
      <c r="G261" s="630" t="str">
        <f>D19</f>
        <v>Ing.</v>
      </c>
      <c r="H261" s="454"/>
      <c r="I261" s="456" t="str">
        <f>F19</f>
        <v>Ing. Peter Sivoň, PhD. - psst s.r.o.</v>
      </c>
      <c r="J261" s="385"/>
      <c r="K261" s="385"/>
      <c r="L261" s="625"/>
      <c r="M261" s="625"/>
      <c r="N261" s="625"/>
    </row>
    <row r="262" spans="1:14" ht="19.7" customHeight="1" x14ac:dyDescent="0.25">
      <c r="A262" s="625"/>
      <c r="B262" s="625"/>
      <c r="C262" s="625"/>
      <c r="D262" s="625"/>
      <c r="E262" s="625"/>
      <c r="F262" s="625"/>
      <c r="G262" s="631" t="str">
        <f>D20</f>
        <v>tel.:</v>
      </c>
      <c r="H262" s="455"/>
      <c r="I262" s="456" t="str">
        <f>F20</f>
        <v>0948 514 497</v>
      </c>
      <c r="J262" s="386"/>
      <c r="K262" s="386"/>
      <c r="L262" s="625"/>
      <c r="M262" s="625"/>
      <c r="N262" s="625"/>
    </row>
    <row r="263" spans="1:14" ht="19.7" customHeight="1" x14ac:dyDescent="0.25">
      <c r="A263" s="625"/>
      <c r="B263" s="625"/>
      <c r="C263" s="625"/>
      <c r="D263" s="625"/>
      <c r="E263" s="625"/>
      <c r="F263" s="625"/>
      <c r="G263" s="627" t="str">
        <f>C21</f>
        <v>e-mail:</v>
      </c>
      <c r="H263" s="454"/>
      <c r="I263" s="456" t="str">
        <f>F21</f>
        <v>atelierpsst@gmail.com</v>
      </c>
      <c r="J263" s="385"/>
      <c r="K263" s="385"/>
      <c r="L263" s="625"/>
      <c r="M263" s="625"/>
      <c r="N263" s="625"/>
    </row>
    <row r="264" spans="1:14" ht="13.5" customHeight="1" x14ac:dyDescent="0.2">
      <c r="A264" s="625"/>
      <c r="B264" s="625"/>
      <c r="C264" s="625"/>
      <c r="D264" s="625"/>
      <c r="E264" s="625"/>
      <c r="F264" s="625"/>
      <c r="G264" s="627">
        <f>H21</f>
        <v>0</v>
      </c>
      <c r="H264" s="627"/>
      <c r="I264" s="632"/>
      <c r="J264" s="625"/>
      <c r="K264" s="625"/>
      <c r="L264" s="625"/>
      <c r="M264" s="625"/>
      <c r="N264" s="625"/>
    </row>
    <row r="265" spans="1:14" ht="13.5" customHeight="1" x14ac:dyDescent="0.2">
      <c r="A265" s="625"/>
      <c r="B265" s="625"/>
      <c r="C265" s="625"/>
      <c r="D265" s="625"/>
      <c r="E265" s="625"/>
      <c r="F265" s="625"/>
      <c r="G265" s="625"/>
      <c r="H265" s="625"/>
      <c r="I265" s="625"/>
      <c r="J265" s="625"/>
      <c r="K265" s="625"/>
      <c r="L265" s="625"/>
      <c r="M265" s="625"/>
      <c r="N265" s="625"/>
    </row>
    <row r="266" spans="1:14" ht="19.7" customHeight="1" x14ac:dyDescent="0.3">
      <c r="A266" s="625"/>
      <c r="B266" s="625"/>
      <c r="C266" s="625"/>
      <c r="D266" s="625"/>
      <c r="E266" s="625"/>
      <c r="F266" s="625"/>
      <c r="G266" s="625"/>
      <c r="H266" s="384" t="s">
        <v>335</v>
      </c>
      <c r="I266" s="384"/>
      <c r="J266" s="384"/>
      <c r="K266" s="384"/>
      <c r="L266" s="625"/>
      <c r="M266" s="625"/>
      <c r="N266" s="625"/>
    </row>
    <row r="267" spans="1:14" ht="19.7" customHeight="1" x14ac:dyDescent="0.25">
      <c r="A267" s="625"/>
      <c r="B267" s="625"/>
      <c r="C267" s="625"/>
      <c r="D267" s="625"/>
      <c r="E267" s="625"/>
      <c r="F267" s="625"/>
      <c r="G267" s="714">
        <f ca="1">D13</f>
        <v>44313</v>
      </c>
      <c r="H267" s="714"/>
      <c r="I267" s="714"/>
      <c r="J267" s="620"/>
      <c r="K267" s="620"/>
      <c r="L267" s="625"/>
      <c r="M267" s="625"/>
      <c r="N267" s="625"/>
    </row>
    <row r="268" spans="1:14" ht="13.5" customHeight="1" x14ac:dyDescent="0.2">
      <c r="A268" s="625"/>
      <c r="B268" s="625"/>
      <c r="C268" s="625"/>
      <c r="D268" s="625"/>
      <c r="E268" s="625"/>
      <c r="F268" s="625"/>
      <c r="G268" s="625"/>
      <c r="H268" s="625"/>
      <c r="I268" s="625"/>
      <c r="J268" s="625"/>
      <c r="K268" s="625"/>
      <c r="L268" s="625"/>
      <c r="M268" s="625"/>
      <c r="N268" s="625"/>
    </row>
    <row r="269" spans="1:14" ht="13.5" customHeight="1" x14ac:dyDescent="0.2">
      <c r="A269" s="625"/>
      <c r="B269" s="625"/>
      <c r="C269" s="625"/>
      <c r="D269" s="625"/>
      <c r="E269" s="625"/>
      <c r="F269" s="625"/>
      <c r="G269" s="625"/>
      <c r="H269" s="625"/>
      <c r="I269" s="625"/>
      <c r="J269" s="625"/>
      <c r="K269" s="625"/>
      <c r="L269" s="625"/>
      <c r="M269" s="625"/>
      <c r="N269" s="625"/>
    </row>
    <row r="270" spans="1:14" ht="13.5" customHeight="1" x14ac:dyDescent="0.2">
      <c r="A270" s="625"/>
      <c r="B270" s="625"/>
      <c r="C270" s="625"/>
      <c r="D270" s="625"/>
      <c r="E270" s="625"/>
      <c r="F270" s="625"/>
      <c r="G270" s="625"/>
      <c r="H270" s="625"/>
      <c r="I270" s="625"/>
      <c r="J270" s="625"/>
      <c r="K270" s="625"/>
      <c r="L270" s="625"/>
      <c r="M270" s="625"/>
      <c r="N270" s="625"/>
    </row>
    <row r="271" spans="1:14" ht="13.5" customHeight="1" x14ac:dyDescent="0.2"/>
    <row r="272" spans="1:14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</sheetData>
  <sheetProtection selectLockedCells="1"/>
  <customSheetViews>
    <customSheetView guid="{951B81EE-4F73-49C3-86F4-B36C01E7586C}" scale="150" showPageBreaks="1" printArea="1" hiddenRows="1" view="pageBreakPreview">
      <selection activeCell="C41" sqref="C41"/>
      <rowBreaks count="3" manualBreakCount="3">
        <brk id="56" max="14" man="1"/>
        <brk id="121" max="14" man="1"/>
        <brk id="229" max="14" man="1"/>
      </rowBreaks>
      <pageMargins left="0.25" right="0.25" top="0.52083333333333337" bottom="0.66666666666666663" header="0.3" footer="0.13541666666666666"/>
      <pageSetup paperSize="9" scale="98" fitToHeight="2" orientation="portrait" r:id="rId1"/>
      <headerFooter>
        <oddFooter>&amp;C&amp;"+,Normálne"&amp;8ELWA s.r.o, Nová 15, 90203 Pezinok,www.elwa.sk, elwa@elwa.sk, 0918/555 222, 0918/555 333, 0918/555 444, 033/6401515EKODREN® s.r.o, Nová 15, Pezinok; 918/555 222, 918/555 333, 918/555 444, 033/6401515;  www.ekodren.sk,  info@ekodren.sk</oddFooter>
      </headerFooter>
    </customSheetView>
  </customSheetViews>
  <mergeCells count="88">
    <mergeCell ref="J7:K7"/>
    <mergeCell ref="M70:N73"/>
    <mergeCell ref="C119:G121"/>
    <mergeCell ref="C98:O98"/>
    <mergeCell ref="K58:L58"/>
    <mergeCell ref="F115:G115"/>
    <mergeCell ref="F116:G116"/>
    <mergeCell ref="M26:N26"/>
    <mergeCell ref="F114:G114"/>
    <mergeCell ref="J37:K37"/>
    <mergeCell ref="B20:C20"/>
    <mergeCell ref="L36:N36"/>
    <mergeCell ref="E78:F78"/>
    <mergeCell ref="B105:N105"/>
    <mergeCell ref="C113:G113"/>
    <mergeCell ref="I113:M113"/>
    <mergeCell ref="G267:I267"/>
    <mergeCell ref="C244:M244"/>
    <mergeCell ref="B243:N243"/>
    <mergeCell ref="I108:J108"/>
    <mergeCell ref="I109:J109"/>
    <mergeCell ref="I111:J111"/>
    <mergeCell ref="I110:J110"/>
    <mergeCell ref="A242:M242"/>
    <mergeCell ref="B217:N217"/>
    <mergeCell ref="B125:N125"/>
    <mergeCell ref="K209:K210"/>
    <mergeCell ref="D219:M219"/>
    <mergeCell ref="L221:M221"/>
    <mergeCell ref="C220:G220"/>
    <mergeCell ref="C221:C222"/>
    <mergeCell ref="D221:E221"/>
    <mergeCell ref="B11:C11"/>
    <mergeCell ref="F21:I21"/>
    <mergeCell ref="B15:C15"/>
    <mergeCell ref="B16:C16"/>
    <mergeCell ref="D17:I17"/>
    <mergeCell ref="C21:E21"/>
    <mergeCell ref="B19:C19"/>
    <mergeCell ref="B13:C13"/>
    <mergeCell ref="B6:M6"/>
    <mergeCell ref="N34:O34"/>
    <mergeCell ref="O25:O33"/>
    <mergeCell ref="D13:E13"/>
    <mergeCell ref="F13:I13"/>
    <mergeCell ref="B23:C23"/>
    <mergeCell ref="D16:I16"/>
    <mergeCell ref="D15:I15"/>
    <mergeCell ref="F20:I20"/>
    <mergeCell ref="C25:E25"/>
    <mergeCell ref="I25:J25"/>
    <mergeCell ref="D20:E20"/>
    <mergeCell ref="D23:I23"/>
    <mergeCell ref="M25:N25"/>
    <mergeCell ref="F25:H25"/>
    <mergeCell ref="D11:I11"/>
    <mergeCell ref="C108:G108"/>
    <mergeCell ref="M78:N79"/>
    <mergeCell ref="K70:L70"/>
    <mergeCell ref="B48:J48"/>
    <mergeCell ref="B12:C12"/>
    <mergeCell ref="D12:I12"/>
    <mergeCell ref="F37:I37"/>
    <mergeCell ref="J21:K21"/>
    <mergeCell ref="D19:E19"/>
    <mergeCell ref="F19:I19"/>
    <mergeCell ref="C69:M69"/>
    <mergeCell ref="M44:N44"/>
    <mergeCell ref="M43:N43"/>
    <mergeCell ref="M37:N37"/>
    <mergeCell ref="B59:C59"/>
    <mergeCell ref="M58:N58"/>
    <mergeCell ref="M1:O5"/>
    <mergeCell ref="F221:G221"/>
    <mergeCell ref="I220:M220"/>
    <mergeCell ref="I221:I222"/>
    <mergeCell ref="J221:K221"/>
    <mergeCell ref="G78:H78"/>
    <mergeCell ref="K78:L78"/>
    <mergeCell ref="I78:J78"/>
    <mergeCell ref="C77:N77"/>
    <mergeCell ref="B56:G56"/>
    <mergeCell ref="M45:N45"/>
    <mergeCell ref="G70:H70"/>
    <mergeCell ref="E70:F70"/>
    <mergeCell ref="C58:H58"/>
    <mergeCell ref="B9:D9"/>
    <mergeCell ref="B17:C17"/>
  </mergeCells>
  <hyperlinks>
    <hyperlink ref="D122" r:id="rId2" xr:uid="{00000000-0004-0000-0300-000000000000}"/>
    <hyperlink ref="D17" r:id="rId3" xr:uid="{832A16E3-ECBD-4849-B854-B590FA94C745}"/>
  </hyperlinks>
  <pageMargins left="0.23622047244094491" right="0.23622047244094491" top="0.51181102362204722" bottom="0.6692913385826772" header="0.31496062992125984" footer="0.11811023622047245"/>
  <pageSetup paperSize="9" scale="98" fitToHeight="4" orientation="portrait" r:id="rId4"/>
  <headerFooter>
    <oddHeader>&amp;C&amp;F</oddHeader>
    <oddFooter>&amp;L&amp;6EKODREN® s.r.o, Nová 15, 902 03 Pezinok; 033/640 15 15; www.ekodren.sk;  info@ekodren.sk</oddFooter>
  </headerFooter>
  <rowBreaks count="3" manualBreakCount="3">
    <brk id="55" max="14" man="1"/>
    <brk id="123" max="14" man="1"/>
    <brk id="234" max="14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11074" r:id="rId7" name="Drop Down 2">
              <controlPr locked="0" defaultSize="0" autoLine="0" autoPict="0">
                <anchor moveWithCells="1">
                  <from>
                    <xdr:col>8</xdr:col>
                    <xdr:colOff>38100</xdr:colOff>
                    <xdr:row>26</xdr:row>
                    <xdr:rowOff>28575</xdr:rowOff>
                  </from>
                  <to>
                    <xdr:col>9</xdr:col>
                    <xdr:colOff>619125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75" r:id="rId8" name="Drop Down 3">
              <controlPr defaultSize="0" autoLine="0" autoPict="0">
                <anchor moveWithCells="1">
                  <from>
                    <xdr:col>8</xdr:col>
                    <xdr:colOff>38100</xdr:colOff>
                    <xdr:row>27</xdr:row>
                    <xdr:rowOff>19050</xdr:rowOff>
                  </from>
                  <to>
                    <xdr:col>9</xdr:col>
                    <xdr:colOff>619125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76" r:id="rId9" name="Drop Down 4">
              <controlPr defaultSize="0" autoLine="0" autoPict="0">
                <anchor moveWithCells="1">
                  <from>
                    <xdr:col>8</xdr:col>
                    <xdr:colOff>38100</xdr:colOff>
                    <xdr:row>32</xdr:row>
                    <xdr:rowOff>28575</xdr:rowOff>
                  </from>
                  <to>
                    <xdr:col>9</xdr:col>
                    <xdr:colOff>619125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77" r:id="rId10" name="Drop Down 5">
              <controlPr defaultSize="0" autoLine="0" autoPict="0">
                <anchor moveWithCells="1">
                  <from>
                    <xdr:col>8</xdr:col>
                    <xdr:colOff>28575</xdr:colOff>
                    <xdr:row>30</xdr:row>
                    <xdr:rowOff>28575</xdr:rowOff>
                  </from>
                  <to>
                    <xdr:col>9</xdr:col>
                    <xdr:colOff>619125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78" r:id="rId11" name="Drop Down 6">
              <controlPr defaultSize="0" autoLine="0" autoPict="0">
                <anchor moveWithCells="1">
                  <from>
                    <xdr:col>8</xdr:col>
                    <xdr:colOff>38100</xdr:colOff>
                    <xdr:row>29</xdr:row>
                    <xdr:rowOff>28575</xdr:rowOff>
                  </from>
                  <to>
                    <xdr:col>9</xdr:col>
                    <xdr:colOff>619125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79" r:id="rId12" name="Drop Down 7">
              <controlPr defaultSize="0" autoLine="0" autoPict="0">
                <anchor moveWithCells="1">
                  <from>
                    <xdr:col>8</xdr:col>
                    <xdr:colOff>28575</xdr:colOff>
                    <xdr:row>31</xdr:row>
                    <xdr:rowOff>28575</xdr:rowOff>
                  </from>
                  <to>
                    <xdr:col>9</xdr:col>
                    <xdr:colOff>619125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80" r:id="rId13" name="Drop Down 8">
              <controlPr defaultSize="0" autoLine="0" autoPict="0">
                <anchor moveWithCells="1">
                  <from>
                    <xdr:col>7</xdr:col>
                    <xdr:colOff>57150</xdr:colOff>
                    <xdr:row>37</xdr:row>
                    <xdr:rowOff>57150</xdr:rowOff>
                  </from>
                  <to>
                    <xdr:col>8</xdr:col>
                    <xdr:colOff>85725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81" r:id="rId14" name="Drop Down 9">
              <controlPr defaultSize="0" autoLine="0" autoPict="0">
                <anchor moveWithCells="1">
                  <from>
                    <xdr:col>7</xdr:col>
                    <xdr:colOff>57150</xdr:colOff>
                    <xdr:row>38</xdr:row>
                    <xdr:rowOff>57150</xdr:rowOff>
                  </from>
                  <to>
                    <xdr:col>8</xdr:col>
                    <xdr:colOff>76200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82" r:id="rId15" name="Drop Down 10">
              <controlPr defaultSize="0" autoLine="0" autoPict="0">
                <anchor moveWithCells="1">
                  <from>
                    <xdr:col>7</xdr:col>
                    <xdr:colOff>76200</xdr:colOff>
                    <xdr:row>39</xdr:row>
                    <xdr:rowOff>57150</xdr:rowOff>
                  </from>
                  <to>
                    <xdr:col>8</xdr:col>
                    <xdr:colOff>76200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83" r:id="rId16" name="Drop Down 11">
              <controlPr defaultSize="0" autoLine="0" autoPict="0">
                <anchor moveWithCells="1">
                  <from>
                    <xdr:col>7</xdr:col>
                    <xdr:colOff>85725</xdr:colOff>
                    <xdr:row>40</xdr:row>
                    <xdr:rowOff>47625</xdr:rowOff>
                  </from>
                  <to>
                    <xdr:col>8</xdr:col>
                    <xdr:colOff>85725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84" r:id="rId17" name="Drop Down 12">
              <controlPr defaultSize="0" autoLine="0" autoPict="0">
                <anchor moveWithCells="1">
                  <from>
                    <xdr:col>7</xdr:col>
                    <xdr:colOff>85725</xdr:colOff>
                    <xdr:row>41</xdr:row>
                    <xdr:rowOff>47625</xdr:rowOff>
                  </from>
                  <to>
                    <xdr:col>8</xdr:col>
                    <xdr:colOff>95250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85" r:id="rId18" name="Drop Down 13">
              <controlPr defaultSize="0" autoLine="0" autoPict="0">
                <anchor moveWithCells="1">
                  <from>
                    <xdr:col>7</xdr:col>
                    <xdr:colOff>85725</xdr:colOff>
                    <xdr:row>42</xdr:row>
                    <xdr:rowOff>38100</xdr:rowOff>
                  </from>
                  <to>
                    <xdr:col>8</xdr:col>
                    <xdr:colOff>85725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086" r:id="rId19" name="Drop Down 14">
              <controlPr defaultSize="0" autoLine="0" autoPict="0">
                <anchor moveWithCells="1">
                  <from>
                    <xdr:col>7</xdr:col>
                    <xdr:colOff>85725</xdr:colOff>
                    <xdr:row>43</xdr:row>
                    <xdr:rowOff>38100</xdr:rowOff>
                  </from>
                  <to>
                    <xdr:col>8</xdr:col>
                    <xdr:colOff>85725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129" r:id="rId20" name="Drop Down 57">
              <controlPr defaultSize="0" autoLine="0" autoPict="0">
                <anchor moveWithCells="1">
                  <from>
                    <xdr:col>8</xdr:col>
                    <xdr:colOff>38100</xdr:colOff>
                    <xdr:row>25</xdr:row>
                    <xdr:rowOff>28575</xdr:rowOff>
                  </from>
                  <to>
                    <xdr:col>9</xdr:col>
                    <xdr:colOff>619125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036" r:id="rId21" name="Drop Down 964">
              <controlPr defaultSize="0" autoLine="0" autoPict="0">
                <anchor moveWithCells="1">
                  <from>
                    <xdr:col>8</xdr:col>
                    <xdr:colOff>38100</xdr:colOff>
                    <xdr:row>33</xdr:row>
                    <xdr:rowOff>95250</xdr:rowOff>
                  </from>
                  <to>
                    <xdr:col>9</xdr:col>
                    <xdr:colOff>619125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692" r:id="rId22" name="Drop Down 1092">
              <controlPr defaultSize="0" autoLine="0" autoPict="0">
                <anchor moveWithCells="1">
                  <from>
                    <xdr:col>7</xdr:col>
                    <xdr:colOff>76200</xdr:colOff>
                    <xdr:row>44</xdr:row>
                    <xdr:rowOff>76200</xdr:rowOff>
                  </from>
                  <to>
                    <xdr:col>8</xdr:col>
                    <xdr:colOff>85725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406" r:id="rId23" name="Drop Down 2798">
              <controlPr defaultSize="0" autoLine="0" autoPict="0">
                <anchor moveWithCells="1">
                  <from>
                    <xdr:col>15</xdr:col>
                    <xdr:colOff>228600</xdr:colOff>
                    <xdr:row>16</xdr:row>
                    <xdr:rowOff>28575</xdr:rowOff>
                  </from>
                  <to>
                    <xdr:col>16</xdr:col>
                    <xdr:colOff>485775</xdr:colOff>
                    <xdr:row>18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2"/>
  <dimension ref="A1"/>
  <sheetViews>
    <sheetView workbookViewId="0"/>
  </sheetViews>
  <sheetFormatPr defaultRowHeight="12.75" x14ac:dyDescent="0.2"/>
  <sheetData/>
  <sheetProtection password="CA8D" sheet="1" objects="1" scenarios="1"/>
  <customSheetViews>
    <customSheetView guid="{951B81EE-4F73-49C3-86F4-B36C01E7586C}">
      <pageMargins left="0.7" right="0.7" top="0.75" bottom="0.75" header="0.3" footer="0.3"/>
    </customSheetView>
  </customSheetViews>
  <phoneticPr fontId="4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Hárok1</vt:lpstr>
      <vt:lpstr>mesta</vt:lpstr>
      <vt:lpstr>tabulky</vt:lpstr>
      <vt:lpstr>výpočet-ELWA SK Drenblok DB</vt:lpstr>
      <vt:lpstr>Mapa zrážkomerných staníc SK</vt:lpstr>
      <vt:lpstr>Hárok1!Oblasť_tlače</vt:lpstr>
      <vt:lpstr>tabulky!Oblasť_tlače</vt:lpstr>
      <vt:lpstr>'výpočet-ELWA SK Drenblok DB'!Oblasť_tlače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Ing.</dc:title>
  <dc:creator>Poljak;Riman</dc:creator>
  <cp:lastModifiedBy>PeO_Ryzen</cp:lastModifiedBy>
  <cp:lastPrinted>2021-02-05T12:29:16Z</cp:lastPrinted>
  <dcterms:created xsi:type="dcterms:W3CDTF">2005-09-17T05:40:05Z</dcterms:created>
  <dcterms:modified xsi:type="dcterms:W3CDTF">2021-04-27T14:47:09Z</dcterms:modified>
</cp:coreProperties>
</file>